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91" yWindow="315" windowWidth="20730" windowHeight="6435" activeTab="0"/>
  </bookViews>
  <sheets>
    <sheet name="Senior Men" sheetId="1" r:id="rId1"/>
    <sheet name="Senior Women" sheetId="2" r:id="rId2"/>
    <sheet name="MaleV40" sheetId="3" r:id="rId3"/>
    <sheet name="MaleV50" sheetId="4" r:id="rId4"/>
    <sheet name="Vet Men 60" sheetId="5" r:id="rId5"/>
    <sheet name="LadyV35" sheetId="6" r:id="rId6"/>
    <sheet name="LadyV45" sheetId="7" r:id="rId7"/>
    <sheet name="Juniors" sheetId="8" r:id="rId8"/>
  </sheets>
  <definedNames/>
  <calcPr fullCalcOnLoad="1"/>
</workbook>
</file>

<file path=xl/sharedStrings.xml><?xml version="1.0" encoding="utf-8"?>
<sst xmlns="http://schemas.openxmlformats.org/spreadsheetml/2006/main" count="430" uniqueCount="218">
  <si>
    <t>Club Name</t>
  </si>
  <si>
    <t>Leg1</t>
  </si>
  <si>
    <t>Leg2</t>
  </si>
  <si>
    <t>Leg3</t>
  </si>
  <si>
    <t>Leg4</t>
  </si>
  <si>
    <t>Position</t>
  </si>
  <si>
    <t>South Kent Harriers A</t>
  </si>
  <si>
    <t>Ali Scott</t>
  </si>
  <si>
    <t>Time</t>
  </si>
  <si>
    <t xml:space="preserve"> </t>
  </si>
  <si>
    <t>Total Time</t>
  </si>
  <si>
    <t>Mike Coleman</t>
  </si>
  <si>
    <t>Richard Newsome</t>
  </si>
  <si>
    <t>Ashford AC A</t>
  </si>
  <si>
    <t>Scott Wiseman</t>
  </si>
  <si>
    <t>Declan Burton</t>
  </si>
  <si>
    <t>Folkestone RC</t>
  </si>
  <si>
    <t>Andy Fletcher</t>
  </si>
  <si>
    <t>Phil Hoyland</t>
  </si>
  <si>
    <t>Dave Gillett</t>
  </si>
  <si>
    <t>Steve O'Brien</t>
  </si>
  <si>
    <t>Canterbury Harriers</t>
  </si>
  <si>
    <t>Tom Purnell</t>
  </si>
  <si>
    <t>Invicta East Kent</t>
  </si>
  <si>
    <t>Ashford &amp; District A</t>
  </si>
  <si>
    <t>Chris Boyce</t>
  </si>
  <si>
    <t>Alan Kirby</t>
  </si>
  <si>
    <t>Ashford AC B</t>
  </si>
  <si>
    <t>Liam Burke</t>
  </si>
  <si>
    <t>South Kent Harriers B</t>
  </si>
  <si>
    <t>South Kent Harriers C</t>
  </si>
  <si>
    <t>Canterbury Harriers C</t>
  </si>
  <si>
    <t>Dover Road Runners</t>
  </si>
  <si>
    <t>Warren Uden</t>
  </si>
  <si>
    <t>Arron Blythe</t>
  </si>
  <si>
    <t>Jon Wiles</t>
  </si>
  <si>
    <t>Neil Coleman</t>
  </si>
  <si>
    <t>Ashford AC C</t>
  </si>
  <si>
    <t>Gerard O'Sullivan</t>
  </si>
  <si>
    <t>Thanet Road Runners</t>
  </si>
  <si>
    <t>Steve Clarke</t>
  </si>
  <si>
    <t>Ashford &amp; District B</t>
  </si>
  <si>
    <t>Patrick Butler</t>
  </si>
  <si>
    <t>Canterbury Harriers B</t>
  </si>
  <si>
    <t>Barry Hopkins</t>
  </si>
  <si>
    <t>Deal Tri</t>
  </si>
  <si>
    <t>Folkestone RC B</t>
  </si>
  <si>
    <t>Ashford &amp; District</t>
  </si>
  <si>
    <t>Jo Faux</t>
  </si>
  <si>
    <t>Rosie Day</t>
  </si>
  <si>
    <t>Becky Williams</t>
  </si>
  <si>
    <t>Folkestone A</t>
  </si>
  <si>
    <t>Louise Fowler</t>
  </si>
  <si>
    <t>Peter Bowell</t>
  </si>
  <si>
    <t>Robert Whittaker</t>
  </si>
  <si>
    <t>Robin Butler</t>
  </si>
  <si>
    <t>Scott Lynch</t>
  </si>
  <si>
    <t>John Turbett</t>
  </si>
  <si>
    <t>Gary Husk</t>
  </si>
  <si>
    <t>Annette Nixon</t>
  </si>
  <si>
    <t>Fiona Tester</t>
  </si>
  <si>
    <t>Trudi Curd</t>
  </si>
  <si>
    <t>Sue Cooper</t>
  </si>
  <si>
    <t>Vicky Talbot-Rosner</t>
  </si>
  <si>
    <t>Jo Daniels</t>
  </si>
  <si>
    <t>Claire Thurgate</t>
  </si>
  <si>
    <t>Canterbury Harriers A</t>
  </si>
  <si>
    <t>Alison Ross</t>
  </si>
  <si>
    <t>Folkestone B</t>
  </si>
  <si>
    <t>Kirsty Gardiner</t>
  </si>
  <si>
    <t>Jo Melluish</t>
  </si>
  <si>
    <t>Folkestone RC A</t>
  </si>
  <si>
    <t>Debbie Jeffery</t>
  </si>
  <si>
    <t xml:space="preserve">Folkestone RC  </t>
  </si>
  <si>
    <t>Debbie Sykes</t>
  </si>
  <si>
    <t>South Kent Harriers</t>
  </si>
  <si>
    <t>Keith Munro</t>
  </si>
  <si>
    <t>Pete Russell</t>
  </si>
  <si>
    <t>Phil Wyard</t>
  </si>
  <si>
    <t>Steve Reynolds</t>
  </si>
  <si>
    <t>Levi Atwell</t>
  </si>
  <si>
    <t>Alastair Sanders</t>
  </si>
  <si>
    <t>Maia Daw</t>
  </si>
  <si>
    <t>Ashford AC</t>
  </si>
  <si>
    <t>Helen Wheeler</t>
  </si>
  <si>
    <t>Billy Baker</t>
  </si>
  <si>
    <t>Pts</t>
  </si>
  <si>
    <t>Adam Cowper-Smith</t>
  </si>
  <si>
    <t>Clive Allon</t>
  </si>
  <si>
    <t>Tim Warren</t>
  </si>
  <si>
    <t>Barry Hogben</t>
  </si>
  <si>
    <t>Brian Davies</t>
  </si>
  <si>
    <t>Grahame Eke</t>
  </si>
  <si>
    <t>Jo Holl</t>
  </si>
  <si>
    <t>Thanet Road Runners A</t>
  </si>
  <si>
    <t xml:space="preserve">Thanet Road Runners </t>
  </si>
  <si>
    <t>Jill Cliff</t>
  </si>
  <si>
    <t>Deal Tri A</t>
  </si>
  <si>
    <t>Lorraine Lyons</t>
  </si>
  <si>
    <t>Invicta East Kent A</t>
  </si>
  <si>
    <t>Richard Hudson</t>
  </si>
  <si>
    <t>Gavin Knight</t>
  </si>
  <si>
    <t>James Scanlon</t>
  </si>
  <si>
    <t>Thanet Road Runners Boys</t>
  </si>
  <si>
    <t>Henry Swandale</t>
  </si>
  <si>
    <t>Hughie Coleman</t>
  </si>
  <si>
    <t>Alfie Grafton</t>
  </si>
  <si>
    <t>Alex Kavanagh</t>
  </si>
  <si>
    <t>Thanet Road Runners Girls</t>
  </si>
  <si>
    <t>John Hunt</t>
  </si>
  <si>
    <t>Stephen Forshaw</t>
  </si>
  <si>
    <t>Peter Heath</t>
  </si>
  <si>
    <t>Nick McNeill</t>
  </si>
  <si>
    <t>Kevin Williams</t>
  </si>
  <si>
    <t>Gill Pragnell</t>
  </si>
  <si>
    <t>Anna-Lisa Stiffel</t>
  </si>
  <si>
    <t>Dover Road Runners A</t>
  </si>
  <si>
    <t>Tracy Foote</t>
  </si>
  <si>
    <t>Leela Osborne</t>
  </si>
  <si>
    <t>Amanda Jukes</t>
  </si>
  <si>
    <t>James McNeill</t>
  </si>
  <si>
    <t>Graham Fooke</t>
  </si>
  <si>
    <t>Julian Manser</t>
  </si>
  <si>
    <t>C J Latimer</t>
  </si>
  <si>
    <t>Daniel Green</t>
  </si>
  <si>
    <t>Robert Carpenter</t>
  </si>
  <si>
    <t>Folkestone C</t>
  </si>
  <si>
    <t>Angela Saunders</t>
  </si>
  <si>
    <t>Nicky Goodwin</t>
  </si>
  <si>
    <t>Gail Turbutt</t>
  </si>
  <si>
    <t>Folkestone Junior Mixed</t>
  </si>
  <si>
    <t>Cumulative Points</t>
  </si>
  <si>
    <t>Folkestone RC Jnr Boys A</t>
  </si>
  <si>
    <t>John Thorpe</t>
  </si>
  <si>
    <t>Jenny Phillips</t>
  </si>
  <si>
    <t>Martin King</t>
  </si>
  <si>
    <t>Del Matcham</t>
  </si>
  <si>
    <t>Mike Hayley</t>
  </si>
  <si>
    <t>Linda Smith</t>
  </si>
  <si>
    <t>Margaret Witham</t>
  </si>
  <si>
    <t>Andy Carter</t>
  </si>
  <si>
    <t>Matt Britton</t>
  </si>
  <si>
    <t>Rona Loubser</t>
  </si>
  <si>
    <t>Catherine O'Connor</t>
  </si>
  <si>
    <t>Leslie Delea</t>
  </si>
  <si>
    <t>Jo Peers</t>
  </si>
  <si>
    <t>Alison Jelly</t>
  </si>
  <si>
    <t>Folkestone Junior A</t>
  </si>
  <si>
    <t>Morgan West</t>
  </si>
  <si>
    <t>Ben Jeffery</t>
  </si>
  <si>
    <t>Keith Haynes</t>
  </si>
  <si>
    <t>Joe Thomsett</t>
  </si>
  <si>
    <t>Craig Thomas</t>
  </si>
  <si>
    <t>Dave Bowden</t>
  </si>
  <si>
    <t>Genevieve Case</t>
  </si>
  <si>
    <t>Kevin Newman</t>
  </si>
  <si>
    <t>James Long</t>
  </si>
  <si>
    <t>Andy Richardson</t>
  </si>
  <si>
    <t>Yvonne Elliott</t>
  </si>
  <si>
    <t>Dave Martin</t>
  </si>
  <si>
    <t>Michael Gallyer -Barnett</t>
  </si>
  <si>
    <t>Cumulative</t>
  </si>
  <si>
    <t>Dover Road Runners  B</t>
  </si>
  <si>
    <t>Mark Sluman</t>
  </si>
  <si>
    <t>East Kent Summer Inter Club Relays - Race 4: Samphire Hoe</t>
  </si>
  <si>
    <t>Caroline Curtis</t>
  </si>
  <si>
    <t>Theresa Johns</t>
  </si>
  <si>
    <t>Carlie Deal</t>
  </si>
  <si>
    <t>Gemma Hiorns</t>
  </si>
  <si>
    <t>Odette Collard-Woolmer</t>
  </si>
  <si>
    <t>Louise Black</t>
  </si>
  <si>
    <t>Kate Henderson</t>
  </si>
  <si>
    <t>Claire Wiseman</t>
  </si>
  <si>
    <t>Jane Elde</t>
  </si>
  <si>
    <t>Wendy Smith</t>
  </si>
  <si>
    <t>Wendy de Boid</t>
  </si>
  <si>
    <t>Emma Long</t>
  </si>
  <si>
    <t>Deal Tri B</t>
  </si>
  <si>
    <t>Catherine Chapman-Jones</t>
  </si>
  <si>
    <t>Margaret Reedy</t>
  </si>
  <si>
    <t>Alison Fitz</t>
  </si>
  <si>
    <t>Becky Weller</t>
  </si>
  <si>
    <t>Georgie Twist</t>
  </si>
  <si>
    <t>Tracy Moon</t>
  </si>
  <si>
    <t>Essen Larsson</t>
  </si>
  <si>
    <t>Matt Hogben</t>
  </si>
  <si>
    <t>Andy Noble</t>
  </si>
  <si>
    <t>John Mihr</t>
  </si>
  <si>
    <t>Danny Finch</t>
  </si>
  <si>
    <t>David Weekes</t>
  </si>
  <si>
    <t>Pete Ryder</t>
  </si>
  <si>
    <t>Colin Kent</t>
  </si>
  <si>
    <t>Bob Davids</t>
  </si>
  <si>
    <t>Neil Buckley</t>
  </si>
  <si>
    <t>Edward Rodger</t>
  </si>
  <si>
    <t>Spencer Hoult</t>
  </si>
  <si>
    <t>William Sykes</t>
  </si>
  <si>
    <t>Kev Gacke</t>
  </si>
  <si>
    <t>Jez Dall</t>
  </si>
  <si>
    <t>Lionel Wray</t>
  </si>
  <si>
    <t>Charlotte Avery</t>
  </si>
  <si>
    <t>Richard Philips</t>
  </si>
  <si>
    <t>Gary Thomas</t>
  </si>
  <si>
    <t>Peter Yallos</t>
  </si>
  <si>
    <t>Jeremy Lissman</t>
  </si>
  <si>
    <t>Bob Davidson</t>
  </si>
  <si>
    <t>Ian King</t>
  </si>
  <si>
    <t>Dominic Woolford</t>
  </si>
  <si>
    <t>Kev Brown</t>
  </si>
  <si>
    <t>Dave Chapman Jones</t>
  </si>
  <si>
    <t>Nick Farrer</t>
  </si>
  <si>
    <t>Malcolm Gibbs</t>
  </si>
  <si>
    <t>Jodie Jackson</t>
  </si>
  <si>
    <t>John Creane</t>
  </si>
  <si>
    <t>Mark Cadier</t>
  </si>
  <si>
    <t>To Ashford</t>
  </si>
  <si>
    <t>Dover</t>
  </si>
  <si>
    <t>Mike Philpott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</si>
</sst>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400]h:mm:ss\ AM/PM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left"/>
    </xf>
    <xf numFmtId="0" fontId="37" fillId="33" borderId="10" xfId="0" applyFont="1" applyFill="1" applyBorder="1" applyAlignment="1">
      <alignment/>
    </xf>
    <xf numFmtId="0" fontId="37" fillId="33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/>
    </xf>
    <xf numFmtId="164" fontId="39" fillId="33" borderId="10" xfId="0" applyNumberFormat="1" applyFont="1" applyFill="1" applyBorder="1" applyAlignment="1">
      <alignment horizontal="center"/>
    </xf>
    <xf numFmtId="21" fontId="39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8" fillId="33" borderId="10" xfId="0" applyFont="1" applyFill="1" applyBorder="1" applyAlignment="1">
      <alignment horizontal="left"/>
    </xf>
    <xf numFmtId="0" fontId="38" fillId="33" borderId="10" xfId="0" applyFont="1" applyFill="1" applyBorder="1" applyAlignment="1">
      <alignment/>
    </xf>
    <xf numFmtId="0" fontId="35" fillId="33" borderId="10" xfId="0" applyFont="1" applyFill="1" applyBorder="1" applyAlignment="1">
      <alignment/>
    </xf>
    <xf numFmtId="0" fontId="39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164" fontId="39" fillId="0" borderId="10" xfId="0" applyNumberFormat="1" applyFont="1" applyFill="1" applyBorder="1" applyAlignment="1">
      <alignment horizontal="center"/>
    </xf>
    <xf numFmtId="21" fontId="39" fillId="0" borderId="10" xfId="0" applyNumberFormat="1" applyFont="1" applyFill="1" applyBorder="1" applyAlignment="1">
      <alignment horizontal="center"/>
    </xf>
    <xf numFmtId="0" fontId="38" fillId="0" borderId="10" xfId="0" applyFont="1" applyFill="1" applyBorder="1" applyAlignment="1">
      <alignment horizontal="left"/>
    </xf>
    <xf numFmtId="0" fontId="38" fillId="0" borderId="10" xfId="0" applyFont="1" applyFill="1" applyBorder="1" applyAlignment="1">
      <alignment horizontal="center"/>
    </xf>
    <xf numFmtId="164" fontId="39" fillId="0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57421875" style="6" customWidth="1"/>
    <col min="2" max="2" width="24.421875" style="7" bestFit="1" customWidth="1"/>
    <col min="3" max="3" width="21.57421875" style="7" bestFit="1" customWidth="1"/>
    <col min="4" max="4" width="9.00390625" style="6" bestFit="1" customWidth="1"/>
    <col min="5" max="5" width="23.57421875" style="7" bestFit="1" customWidth="1"/>
    <col min="6" max="6" width="9.00390625" style="6" bestFit="1" customWidth="1"/>
    <col min="7" max="7" width="21.57421875" style="7" bestFit="1" customWidth="1"/>
    <col min="8" max="8" width="9.00390625" style="6" bestFit="1" customWidth="1"/>
    <col min="9" max="9" width="23.28125" style="7" customWidth="1"/>
    <col min="10" max="10" width="9.00390625" style="6" bestFit="1" customWidth="1"/>
    <col min="11" max="11" width="11.28125" style="6" bestFit="1" customWidth="1"/>
    <col min="12" max="12" width="5.8515625" style="6" customWidth="1"/>
    <col min="13" max="13" width="11.28125" style="10" customWidth="1"/>
    <col min="14" max="14" width="9.57421875" style="6" customWidth="1"/>
    <col min="15" max="15" width="12.8515625" style="7" customWidth="1"/>
    <col min="16" max="16384" width="9.140625" style="7" customWidth="1"/>
  </cols>
  <sheetData>
    <row r="1" spans="1:14" s="2" customFormat="1" ht="18.75">
      <c r="A1" s="1" t="s">
        <v>164</v>
      </c>
      <c r="D1" s="3"/>
      <c r="F1" s="3"/>
      <c r="H1" s="3"/>
      <c r="I1" s="3"/>
      <c r="J1" s="3"/>
      <c r="L1" s="3"/>
      <c r="M1" s="3"/>
      <c r="N1" s="3"/>
    </row>
    <row r="2" spans="1:14" s="5" customFormat="1" ht="15.75">
      <c r="A2" s="4" t="s">
        <v>5</v>
      </c>
      <c r="B2" s="4" t="s">
        <v>0</v>
      </c>
      <c r="C2" s="4" t="s">
        <v>1</v>
      </c>
      <c r="D2" s="4" t="s">
        <v>8</v>
      </c>
      <c r="E2" s="4" t="s">
        <v>2</v>
      </c>
      <c r="F2" s="4" t="s">
        <v>8</v>
      </c>
      <c r="G2" s="4" t="s">
        <v>3</v>
      </c>
      <c r="H2" s="4" t="s">
        <v>8</v>
      </c>
      <c r="I2" s="4" t="s">
        <v>4</v>
      </c>
      <c r="J2" s="4" t="s">
        <v>8</v>
      </c>
      <c r="K2" s="4" t="s">
        <v>10</v>
      </c>
      <c r="L2" s="4" t="s">
        <v>86</v>
      </c>
      <c r="M2" s="4"/>
      <c r="N2" s="4"/>
    </row>
    <row r="3" spans="1:12" ht="15.75">
      <c r="A3" s="14">
        <v>1</v>
      </c>
      <c r="B3" s="15" t="s">
        <v>13</v>
      </c>
      <c r="C3" s="16" t="s">
        <v>15</v>
      </c>
      <c r="D3" s="17">
        <f>TIME(0,11,59+33)</f>
        <v>0.008703703703703703</v>
      </c>
      <c r="E3" s="16" t="s">
        <v>185</v>
      </c>
      <c r="F3" s="17">
        <f>TIME(0,25,8+33)-D3</f>
        <v>0.009131944444444446</v>
      </c>
      <c r="G3" s="16" t="s">
        <v>141</v>
      </c>
      <c r="H3" s="17">
        <f>TIME(0,38,10+33)-D3-F3</f>
        <v>0.009050925925925928</v>
      </c>
      <c r="I3" s="16" t="s">
        <v>14</v>
      </c>
      <c r="J3" s="17">
        <f>TIME(0,50,56+33)-D3-F3-H3</f>
        <v>0.008865740740740737</v>
      </c>
      <c r="K3" s="18">
        <f aca="true" t="shared" si="0" ref="K3:K14">+J3+H3+F3+D3</f>
        <v>0.03575231481481481</v>
      </c>
      <c r="L3" s="14">
        <v>8</v>
      </c>
    </row>
    <row r="4" spans="1:12" ht="15.75">
      <c r="A4" s="14">
        <v>2</v>
      </c>
      <c r="B4" s="15" t="s">
        <v>71</v>
      </c>
      <c r="C4" s="16" t="s">
        <v>19</v>
      </c>
      <c r="D4" s="17">
        <f>TIME(0,12,19+33)</f>
        <v>0.008935185185185187</v>
      </c>
      <c r="E4" s="16" t="s">
        <v>17</v>
      </c>
      <c r="F4" s="17">
        <f>TIME(0,25,6+33)-D4</f>
        <v>0.008877314814814812</v>
      </c>
      <c r="G4" s="16" t="s">
        <v>18</v>
      </c>
      <c r="H4" s="17">
        <f>TIME(0,38,11+33)-D4-F4</f>
        <v>0.009085648148148147</v>
      </c>
      <c r="I4" s="16" t="s">
        <v>20</v>
      </c>
      <c r="J4" s="17">
        <f>TIME(0,51,6+33)-D4-F4-H4</f>
        <v>0.008969907407407414</v>
      </c>
      <c r="K4" s="18">
        <f t="shared" si="0"/>
        <v>0.035868055555555556</v>
      </c>
      <c r="L4" s="14">
        <v>7</v>
      </c>
    </row>
    <row r="5" spans="1:12" ht="15.75">
      <c r="A5" s="14">
        <v>3</v>
      </c>
      <c r="B5" s="15" t="s">
        <v>6</v>
      </c>
      <c r="C5" s="16" t="s">
        <v>7</v>
      </c>
      <c r="D5" s="17">
        <f>TIME(0,13,4)</f>
        <v>0.009074074074074073</v>
      </c>
      <c r="E5" s="16" t="s">
        <v>11</v>
      </c>
      <c r="F5" s="17">
        <f>TIME(0,25,32)-D5</f>
        <v>0.00865740740740741</v>
      </c>
      <c r="G5" s="16" t="s">
        <v>120</v>
      </c>
      <c r="H5" s="17">
        <f>TIME(0,38,56)-D5-F5</f>
        <v>0.009305555555555555</v>
      </c>
      <c r="I5" s="16" t="s">
        <v>12</v>
      </c>
      <c r="J5" s="17">
        <f>TIME(0,51,41)-D5-F5-H5</f>
        <v>0.008854166666666661</v>
      </c>
      <c r="K5" s="18">
        <f t="shared" si="0"/>
        <v>0.0358912037037037</v>
      </c>
      <c r="L5" s="14">
        <v>6</v>
      </c>
    </row>
    <row r="6" spans="1:12" ht="15.75">
      <c r="A6" s="14">
        <v>4</v>
      </c>
      <c r="B6" s="15" t="s">
        <v>27</v>
      </c>
      <c r="C6" s="16" t="s">
        <v>38</v>
      </c>
      <c r="D6" s="17">
        <f>TIME(0,13,41+33)</f>
        <v>0.009884259259259261</v>
      </c>
      <c r="E6" s="16" t="s">
        <v>28</v>
      </c>
      <c r="F6" s="17">
        <f>TIME(0,28,3+33)-D6</f>
        <v>0.00997685185185185</v>
      </c>
      <c r="G6" s="16" t="s">
        <v>112</v>
      </c>
      <c r="H6" s="17">
        <f>TIME(0,41,41+33)-D6-F6</f>
        <v>0.009467592592592595</v>
      </c>
      <c r="I6" s="16" t="s">
        <v>113</v>
      </c>
      <c r="J6" s="17">
        <f>TIME(0,55,38+33)-D6-F6-H6</f>
        <v>0.009687499999999996</v>
      </c>
      <c r="K6" s="18">
        <f t="shared" si="0"/>
        <v>0.0390162037037037</v>
      </c>
      <c r="L6" s="14"/>
    </row>
    <row r="7" spans="1:12" ht="15.75">
      <c r="A7" s="14">
        <v>5</v>
      </c>
      <c r="B7" s="15" t="s">
        <v>66</v>
      </c>
      <c r="C7" s="16" t="s">
        <v>151</v>
      </c>
      <c r="D7" s="17">
        <f>TIME(0,12,30+33)</f>
        <v>0.0090625</v>
      </c>
      <c r="E7" s="16" t="s">
        <v>102</v>
      </c>
      <c r="F7" s="17">
        <f>TIME(0,27,20+33)-D7</f>
        <v>0.010300925925925927</v>
      </c>
      <c r="G7" s="16" t="s">
        <v>44</v>
      </c>
      <c r="H7" s="17">
        <f>TIME(0,42,11+33)-D7-F7</f>
        <v>0.010312499999999997</v>
      </c>
      <c r="I7" s="16" t="s">
        <v>22</v>
      </c>
      <c r="J7" s="17">
        <f>TIME(0,55,54+33)-D7-F7-H7</f>
        <v>0.009525462962962963</v>
      </c>
      <c r="K7" s="18">
        <f t="shared" si="0"/>
        <v>0.03920138888888889</v>
      </c>
      <c r="L7" s="14">
        <v>5</v>
      </c>
    </row>
    <row r="8" spans="1:12" ht="15.75">
      <c r="A8" s="14">
        <v>6</v>
      </c>
      <c r="B8" s="15" t="s">
        <v>29</v>
      </c>
      <c r="C8" s="16" t="s">
        <v>135</v>
      </c>
      <c r="D8" s="17">
        <f>TIME(0,13,26)</f>
        <v>0.009328703703703704</v>
      </c>
      <c r="E8" s="16" t="s">
        <v>213</v>
      </c>
      <c r="F8" s="17">
        <f>TIME(0,26,47)-D8</f>
        <v>0.009270833333333332</v>
      </c>
      <c r="G8" s="16" t="s">
        <v>136</v>
      </c>
      <c r="H8" s="17">
        <f>TIME(0,40,42)-D8-F8</f>
        <v>0.009664351851851855</v>
      </c>
      <c r="I8" s="16" t="s">
        <v>214</v>
      </c>
      <c r="J8" s="17">
        <f>TIME(0,56,49)-D8-F8-H8</f>
        <v>0.011192129629629632</v>
      </c>
      <c r="K8" s="18">
        <f t="shared" si="0"/>
        <v>0.03945601851851852</v>
      </c>
      <c r="L8" s="14"/>
    </row>
    <row r="9" spans="1:12" ht="15.75">
      <c r="A9" s="14">
        <v>7</v>
      </c>
      <c r="B9" s="15" t="s">
        <v>24</v>
      </c>
      <c r="C9" s="16" t="s">
        <v>25</v>
      </c>
      <c r="D9" s="17">
        <f>TIME(0,12,52+33)</f>
        <v>0.009317129629629628</v>
      </c>
      <c r="E9" s="16" t="s">
        <v>123</v>
      </c>
      <c r="F9" s="17">
        <f>TIME(0,26,38+33)-D9</f>
        <v>0.009560185185185187</v>
      </c>
      <c r="G9" s="16" t="s">
        <v>150</v>
      </c>
      <c r="H9" s="17">
        <f>TIME(0,42,23+33)-D9-F9</f>
        <v>0.010937499999999994</v>
      </c>
      <c r="I9" s="16" t="s">
        <v>26</v>
      </c>
      <c r="J9" s="17">
        <f>TIME(0,57,38+33)-D9-F9-H9</f>
        <v>0.010590277777777784</v>
      </c>
      <c r="K9" s="18">
        <f t="shared" si="0"/>
        <v>0.04040509259259259</v>
      </c>
      <c r="L9" s="14">
        <v>4</v>
      </c>
    </row>
    <row r="10" spans="1:12" ht="15.75">
      <c r="A10" s="14">
        <v>8</v>
      </c>
      <c r="B10" s="15" t="s">
        <v>46</v>
      </c>
      <c r="C10" s="16" t="s">
        <v>155</v>
      </c>
      <c r="D10" s="17">
        <f>TIME(0,12,48+33)</f>
        <v>0.009270833333333334</v>
      </c>
      <c r="E10" s="16" t="s">
        <v>186</v>
      </c>
      <c r="F10" s="17">
        <f>TIME(0,27,59+33)-D10</f>
        <v>0.010543981481481482</v>
      </c>
      <c r="G10" s="16" t="s">
        <v>187</v>
      </c>
      <c r="H10" s="17">
        <f>TIME(0,44,27+33)-D10-F10</f>
        <v>0.011435185185185185</v>
      </c>
      <c r="I10" s="16" t="s">
        <v>89</v>
      </c>
      <c r="J10" s="17">
        <f>TIME(0,58,59+33)-D10-F10-H10</f>
        <v>0.010092592592592592</v>
      </c>
      <c r="K10" s="18">
        <f t="shared" si="0"/>
        <v>0.04134259259259259</v>
      </c>
      <c r="L10" s="14" t="s">
        <v>9</v>
      </c>
    </row>
    <row r="11" spans="1:12" ht="15.75">
      <c r="A11" s="14">
        <v>9</v>
      </c>
      <c r="B11" s="15" t="s">
        <v>32</v>
      </c>
      <c r="C11" s="16" t="s">
        <v>34</v>
      </c>
      <c r="D11" s="17">
        <f>TIME(0,15,4+33)</f>
        <v>0.010844907407407407</v>
      </c>
      <c r="E11" s="16" t="s">
        <v>33</v>
      </c>
      <c r="F11" s="17">
        <f>TIME(0,28,34+33)-D11</f>
        <v>0.009375000000000001</v>
      </c>
      <c r="G11" s="16" t="s">
        <v>35</v>
      </c>
      <c r="H11" s="17">
        <f>TIME(0,44,20+33)-D11-F11</f>
        <v>0.010949074074074073</v>
      </c>
      <c r="I11" s="16" t="s">
        <v>36</v>
      </c>
      <c r="J11" s="17">
        <f>TIME(1,0,14+33)-D11-F11-H11</f>
        <v>0.011041666666666668</v>
      </c>
      <c r="K11" s="18">
        <f t="shared" si="0"/>
        <v>0.04221064814814815</v>
      </c>
      <c r="L11" s="14">
        <v>3</v>
      </c>
    </row>
    <row r="12" spans="1:12" ht="15.75">
      <c r="A12" s="14">
        <v>10</v>
      </c>
      <c r="B12" s="15" t="s">
        <v>41</v>
      </c>
      <c r="C12" s="16" t="s">
        <v>193</v>
      </c>
      <c r="D12" s="17">
        <f>TIME(0,14,32+33)</f>
        <v>0.010474537037037037</v>
      </c>
      <c r="E12" s="16" t="s">
        <v>42</v>
      </c>
      <c r="F12" s="17">
        <f>TIME(0,29,31+33)-D12</f>
        <v>0.010405092592592589</v>
      </c>
      <c r="G12" s="16" t="s">
        <v>194</v>
      </c>
      <c r="H12" s="17">
        <f>TIME(0,46,49+33)-D12-F12</f>
        <v>0.012013888888888895</v>
      </c>
      <c r="I12" s="16" t="s">
        <v>25</v>
      </c>
      <c r="J12" s="17">
        <f>TIME(1,1,39+33)-D12-F12-H12</f>
        <v>0.01030092592592592</v>
      </c>
      <c r="K12" s="18">
        <f t="shared" si="0"/>
        <v>0.043194444444444445</v>
      </c>
      <c r="L12" s="14"/>
    </row>
    <row r="13" spans="1:12" ht="15.75">
      <c r="A13" s="14">
        <v>11</v>
      </c>
      <c r="B13" s="15" t="s">
        <v>94</v>
      </c>
      <c r="C13" s="16" t="s">
        <v>140</v>
      </c>
      <c r="D13" s="17">
        <f>TIME(0,15,33+33)</f>
        <v>0.011180555555555556</v>
      </c>
      <c r="E13" s="16" t="s">
        <v>110</v>
      </c>
      <c r="F13" s="17">
        <f>TIME(0,31,51+33)-D13</f>
        <v>0.01131944444444444</v>
      </c>
      <c r="G13" s="16" t="s">
        <v>195</v>
      </c>
      <c r="H13" s="17">
        <f>TIME(0,47,49+33)-D13-F13</f>
        <v>0.011087962962962971</v>
      </c>
      <c r="I13" s="16" t="s">
        <v>109</v>
      </c>
      <c r="J13" s="17">
        <f>TIME(1,2,24)-D13-F13-H13</f>
        <v>0.009745370370370371</v>
      </c>
      <c r="K13" s="18">
        <f t="shared" si="0"/>
        <v>0.043333333333333335</v>
      </c>
      <c r="L13" s="14">
        <v>2</v>
      </c>
    </row>
    <row r="14" spans="1:12" ht="15.75">
      <c r="A14" s="14">
        <v>12</v>
      </c>
      <c r="B14" s="15" t="s">
        <v>97</v>
      </c>
      <c r="C14" s="16" t="s">
        <v>196</v>
      </c>
      <c r="D14" s="17">
        <f>TIME(0,15,28+33)</f>
        <v>0.011122685185185185</v>
      </c>
      <c r="E14" s="16" t="s">
        <v>197</v>
      </c>
      <c r="F14" s="17">
        <f>TIME(0,33,33)-D14</f>
        <v>0.012175925925925922</v>
      </c>
      <c r="G14" s="16" t="s">
        <v>198</v>
      </c>
      <c r="H14" s="17">
        <f>TIME(0,48,8+33)-D14-F14</f>
        <v>0.010509259259259262</v>
      </c>
      <c r="I14" s="16" t="s">
        <v>199</v>
      </c>
      <c r="J14" s="17">
        <f>TIME(1,3,22+33)-D14-F14-H14</f>
        <v>0.0105787037037037</v>
      </c>
      <c r="K14" s="18">
        <f t="shared" si="0"/>
        <v>0.04438657407407407</v>
      </c>
      <c r="L14" s="14">
        <v>1</v>
      </c>
    </row>
    <row r="15" spans="1:11" ht="15.75">
      <c r="A15" s="14" t="s">
        <v>9</v>
      </c>
      <c r="B15" s="15" t="s">
        <v>37</v>
      </c>
      <c r="C15" s="16" t="s">
        <v>206</v>
      </c>
      <c r="D15" s="17">
        <f>TIME(0,15,13+33)</f>
        <v>0.010949074074074075</v>
      </c>
      <c r="E15" s="7" t="s">
        <v>9</v>
      </c>
      <c r="F15" s="8" t="s">
        <v>9</v>
      </c>
      <c r="G15" s="7" t="s">
        <v>9</v>
      </c>
      <c r="H15" s="8" t="s">
        <v>9</v>
      </c>
      <c r="I15" s="7" t="s">
        <v>9</v>
      </c>
      <c r="J15" s="8" t="s">
        <v>9</v>
      </c>
      <c r="K15" s="9" t="s">
        <v>9</v>
      </c>
    </row>
    <row r="16" spans="1:11" ht="15.75">
      <c r="A16" s="14"/>
      <c r="B16" s="15" t="s">
        <v>30</v>
      </c>
      <c r="C16" s="16" t="s">
        <v>207</v>
      </c>
      <c r="D16" s="17">
        <f>TIME(0,15,14+33)</f>
        <v>0.010960648148148148</v>
      </c>
      <c r="E16" s="7" t="s">
        <v>9</v>
      </c>
      <c r="F16" s="8" t="s">
        <v>9</v>
      </c>
      <c r="G16" s="7" t="s">
        <v>9</v>
      </c>
      <c r="H16" s="8" t="s">
        <v>9</v>
      </c>
      <c r="I16" s="7" t="s">
        <v>9</v>
      </c>
      <c r="J16" s="8" t="s">
        <v>9</v>
      </c>
      <c r="K16" s="9" t="s">
        <v>9</v>
      </c>
    </row>
    <row r="17" spans="1:11" ht="15.75">
      <c r="A17" s="14" t="s">
        <v>9</v>
      </c>
      <c r="B17" s="15" t="s">
        <v>99</v>
      </c>
      <c r="C17" s="16" t="s">
        <v>100</v>
      </c>
      <c r="D17" s="17">
        <f>TIME(0,32-13,5-43)</f>
        <v>0.01275462962962963</v>
      </c>
      <c r="F17" s="8"/>
      <c r="H17" s="8"/>
      <c r="J17" s="8"/>
      <c r="K17" s="9"/>
    </row>
    <row r="18" spans="2:11" ht="15.75">
      <c r="B18" s="5"/>
      <c r="D18" s="8"/>
      <c r="F18" s="8"/>
      <c r="H18" s="8"/>
      <c r="J18" s="8"/>
      <c r="K18" s="9"/>
    </row>
    <row r="19" spans="2:13" s="12" customFormat="1" ht="15.75">
      <c r="B19" s="4" t="s">
        <v>131</v>
      </c>
      <c r="C19" s="4" t="s">
        <v>215</v>
      </c>
      <c r="D19" s="4" t="s">
        <v>216</v>
      </c>
      <c r="E19" s="4" t="s">
        <v>161</v>
      </c>
      <c r="M19" s="13"/>
    </row>
    <row r="20" ht="15.75">
      <c r="A20" s="6" t="s">
        <v>9</v>
      </c>
    </row>
    <row r="21" spans="1:5" ht="15.75">
      <c r="A21" s="6">
        <v>1</v>
      </c>
      <c r="B21" s="5" t="s">
        <v>6</v>
      </c>
      <c r="C21" s="4">
        <v>26</v>
      </c>
      <c r="D21" s="4">
        <v>6</v>
      </c>
      <c r="E21" s="4">
        <f aca="true" t="shared" si="1" ref="E21:E29">D21+C21</f>
        <v>32</v>
      </c>
    </row>
    <row r="22" spans="1:5" ht="15.75">
      <c r="A22" s="6">
        <v>2</v>
      </c>
      <c r="B22" s="5" t="s">
        <v>16</v>
      </c>
      <c r="C22" s="4">
        <v>22</v>
      </c>
      <c r="D22" s="4">
        <v>7</v>
      </c>
      <c r="E22" s="4">
        <f t="shared" si="1"/>
        <v>29</v>
      </c>
    </row>
    <row r="23" spans="2:5" ht="15.75">
      <c r="B23" s="5" t="s">
        <v>13</v>
      </c>
      <c r="C23" s="4">
        <v>21</v>
      </c>
      <c r="D23" s="4">
        <v>8</v>
      </c>
      <c r="E23" s="4">
        <f t="shared" si="1"/>
        <v>29</v>
      </c>
    </row>
    <row r="24" spans="1:5" ht="15.75">
      <c r="A24" s="6">
        <v>4</v>
      </c>
      <c r="B24" s="5" t="s">
        <v>66</v>
      </c>
      <c r="C24" s="4">
        <v>17</v>
      </c>
      <c r="D24" s="4">
        <v>5</v>
      </c>
      <c r="E24" s="4">
        <f t="shared" si="1"/>
        <v>22</v>
      </c>
    </row>
    <row r="25" spans="1:5" ht="15.75">
      <c r="A25" s="6">
        <v>5</v>
      </c>
      <c r="B25" s="5" t="s">
        <v>24</v>
      </c>
      <c r="C25" s="4">
        <v>12</v>
      </c>
      <c r="D25" s="4">
        <v>4</v>
      </c>
      <c r="E25" s="4">
        <f t="shared" si="1"/>
        <v>16</v>
      </c>
    </row>
    <row r="26" spans="1:5" ht="15.75">
      <c r="A26" s="6">
        <v>6</v>
      </c>
      <c r="B26" s="5" t="s">
        <v>99</v>
      </c>
      <c r="C26" s="4">
        <v>15</v>
      </c>
      <c r="D26" s="4">
        <v>0</v>
      </c>
      <c r="E26" s="4">
        <f t="shared" si="1"/>
        <v>15</v>
      </c>
    </row>
    <row r="27" spans="1:5" ht="15.75">
      <c r="A27" s="6">
        <v>7</v>
      </c>
      <c r="B27" s="5" t="s">
        <v>94</v>
      </c>
      <c r="C27" s="4">
        <v>8</v>
      </c>
      <c r="D27" s="4">
        <v>2</v>
      </c>
      <c r="E27" s="4">
        <f t="shared" si="1"/>
        <v>10</v>
      </c>
    </row>
    <row r="28" spans="1:5" ht="15.75">
      <c r="A28" s="6">
        <v>8</v>
      </c>
      <c r="B28" s="5" t="s">
        <v>32</v>
      </c>
      <c r="C28" s="4">
        <v>7</v>
      </c>
      <c r="D28" s="4">
        <v>3</v>
      </c>
      <c r="E28" s="4">
        <f t="shared" si="1"/>
        <v>10</v>
      </c>
    </row>
    <row r="29" spans="1:5" ht="15.75">
      <c r="A29" s="6">
        <v>9</v>
      </c>
      <c r="B29" s="5" t="s">
        <v>97</v>
      </c>
      <c r="C29" s="4">
        <v>7</v>
      </c>
      <c r="D29" s="4">
        <v>1</v>
      </c>
      <c r="E29" s="4">
        <f t="shared" si="1"/>
        <v>8</v>
      </c>
    </row>
    <row r="30" spans="2:3" ht="15.75">
      <c r="B30" s="5"/>
      <c r="C30" s="6"/>
    </row>
    <row r="31" spans="2:3" ht="15.75">
      <c r="B31" s="5"/>
      <c r="C31" s="6"/>
    </row>
    <row r="32" spans="2:3" ht="15.75">
      <c r="B32" s="5"/>
      <c r="C32" s="6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3">
      <selection activeCell="E23" sqref="E23"/>
    </sheetView>
  </sheetViews>
  <sheetFormatPr defaultColWidth="9.140625" defaultRowHeight="15"/>
  <cols>
    <col min="1" max="1" width="9.00390625" style="6" bestFit="1" customWidth="1"/>
    <col min="2" max="2" width="24.140625" style="5" customWidth="1"/>
    <col min="3" max="3" width="16.8515625" style="7" customWidth="1"/>
    <col min="4" max="4" width="9.00390625" style="6" bestFit="1" customWidth="1"/>
    <col min="5" max="5" width="25.57421875" style="7" customWidth="1"/>
    <col min="6" max="6" width="9.00390625" style="6" bestFit="1" customWidth="1"/>
    <col min="7" max="7" width="18.140625" style="7" bestFit="1" customWidth="1"/>
    <col min="8" max="8" width="10.7109375" style="6" customWidth="1"/>
    <col min="9" max="9" width="11.28125" style="6" bestFit="1" customWidth="1"/>
    <col min="10" max="10" width="5.8515625" style="6" customWidth="1"/>
    <col min="11" max="11" width="11.28125" style="10" customWidth="1"/>
    <col min="12" max="12" width="9.57421875" style="6" customWidth="1"/>
    <col min="13" max="16384" width="9.140625" style="7" customWidth="1"/>
  </cols>
  <sheetData>
    <row r="1" spans="1:12" s="2" customFormat="1" ht="18.75">
      <c r="A1" s="1" t="s">
        <v>164</v>
      </c>
      <c r="D1" s="3"/>
      <c r="F1" s="3"/>
      <c r="H1" s="3"/>
      <c r="I1" s="3"/>
      <c r="J1" s="3"/>
      <c r="K1" s="3"/>
      <c r="L1" s="3"/>
    </row>
    <row r="2" spans="1:12" s="5" customFormat="1" ht="15.75">
      <c r="A2" s="4" t="s">
        <v>5</v>
      </c>
      <c r="B2" s="4" t="s">
        <v>0</v>
      </c>
      <c r="C2" s="4" t="s">
        <v>1</v>
      </c>
      <c r="D2" s="4" t="s">
        <v>8</v>
      </c>
      <c r="E2" s="4" t="s">
        <v>2</v>
      </c>
      <c r="F2" s="4" t="s">
        <v>8</v>
      </c>
      <c r="G2" s="4" t="s">
        <v>3</v>
      </c>
      <c r="H2" s="4" t="s">
        <v>8</v>
      </c>
      <c r="I2" s="4" t="s">
        <v>10</v>
      </c>
      <c r="J2" s="4" t="s">
        <v>86</v>
      </c>
      <c r="K2" s="4"/>
      <c r="L2" s="4"/>
    </row>
    <row r="3" spans="1:11" ht="15.75">
      <c r="A3" s="14">
        <v>1</v>
      </c>
      <c r="B3" s="15" t="s">
        <v>51</v>
      </c>
      <c r="C3" s="16" t="s">
        <v>69</v>
      </c>
      <c r="D3" s="17">
        <f>TIME(0,17,16+33)</f>
        <v>0.012372685185185186</v>
      </c>
      <c r="E3" s="16" t="s">
        <v>72</v>
      </c>
      <c r="F3" s="17">
        <f>TIME(0,33,59+33)-D3</f>
        <v>0.011608796296296292</v>
      </c>
      <c r="G3" s="16" t="s">
        <v>142</v>
      </c>
      <c r="H3" s="17">
        <f>TIME(0,48,25)-D3-F3</f>
        <v>0.009641203703703699</v>
      </c>
      <c r="I3" s="18">
        <f aca="true" t="shared" si="0" ref="I3:I11">+H3+F3+D3</f>
        <v>0.03362268518518518</v>
      </c>
      <c r="J3" s="14">
        <v>7</v>
      </c>
      <c r="K3" s="6"/>
    </row>
    <row r="4" spans="1:11" ht="15.75">
      <c r="A4" s="14">
        <v>2</v>
      </c>
      <c r="B4" s="15" t="s">
        <v>24</v>
      </c>
      <c r="C4" s="16" t="s">
        <v>49</v>
      </c>
      <c r="D4" s="17">
        <f>TIME(0,15,42+33)</f>
        <v>0.011284722222222222</v>
      </c>
      <c r="E4" s="16" t="s">
        <v>114</v>
      </c>
      <c r="F4" s="17">
        <f>TIME(0,32,16+33)-D4</f>
        <v>0.01150462962962963</v>
      </c>
      <c r="G4" s="16" t="s">
        <v>48</v>
      </c>
      <c r="H4" s="17">
        <f>TIME(0,48,47+33)-D4-F4</f>
        <v>0.011469907407407406</v>
      </c>
      <c r="I4" s="18">
        <f t="shared" si="0"/>
        <v>0.03425925925925926</v>
      </c>
      <c r="J4" s="14">
        <v>6</v>
      </c>
      <c r="K4" s="6"/>
    </row>
    <row r="5" spans="1:11" ht="15.75">
      <c r="A5" s="14">
        <v>3</v>
      </c>
      <c r="B5" s="15" t="s">
        <v>83</v>
      </c>
      <c r="C5" s="16" t="s">
        <v>119</v>
      </c>
      <c r="D5" s="17">
        <f>TIME(0,17,10)</f>
        <v>0.011921296296296298</v>
      </c>
      <c r="E5" s="16" t="s">
        <v>181</v>
      </c>
      <c r="F5" s="17">
        <f>TIME(0,34,28)-D5</f>
        <v>0.012013888888888886</v>
      </c>
      <c r="G5" s="16" t="s">
        <v>182</v>
      </c>
      <c r="H5" s="17">
        <f>TIME(0,50,28)-D5-F5</f>
        <v>0.011111111111111113</v>
      </c>
      <c r="I5" s="18">
        <f t="shared" si="0"/>
        <v>0.0350462962962963</v>
      </c>
      <c r="J5" s="14">
        <v>5</v>
      </c>
      <c r="K5" s="6"/>
    </row>
    <row r="6" spans="1:11" ht="15.75">
      <c r="A6" s="14">
        <v>4</v>
      </c>
      <c r="B6" s="19" t="s">
        <v>95</v>
      </c>
      <c r="C6" s="16" t="s">
        <v>154</v>
      </c>
      <c r="D6" s="17">
        <f>TIME(0,15,45+33)</f>
        <v>0.011319444444444444</v>
      </c>
      <c r="E6" s="16" t="s">
        <v>93</v>
      </c>
      <c r="F6" s="17">
        <f>TIME(0,33,42+33)-D6</f>
        <v>0.012465277777777777</v>
      </c>
      <c r="G6" s="16" t="s">
        <v>50</v>
      </c>
      <c r="H6" s="17">
        <f>TIME(0,50,13+33)-D6-F6</f>
        <v>0.011469907407407408</v>
      </c>
      <c r="I6" s="17">
        <f t="shared" si="0"/>
        <v>0.03525462962962963</v>
      </c>
      <c r="J6" s="14">
        <v>4</v>
      </c>
      <c r="K6" s="7"/>
    </row>
    <row r="7" spans="1:11" ht="15.75">
      <c r="A7" s="14">
        <v>5</v>
      </c>
      <c r="B7" s="15" t="s">
        <v>21</v>
      </c>
      <c r="C7" s="16" t="s">
        <v>60</v>
      </c>
      <c r="D7" s="17">
        <f>TIME(0,15,50+33)</f>
        <v>0.011377314814814814</v>
      </c>
      <c r="E7" s="16" t="s">
        <v>168</v>
      </c>
      <c r="F7" s="17">
        <f>TIME(0,35,14+33)-D7</f>
        <v>0.01347222222222222</v>
      </c>
      <c r="G7" s="16" t="s">
        <v>60</v>
      </c>
      <c r="H7" s="17">
        <f>TIME(0,51,15)-D7-F7</f>
        <v>0.010740740740740743</v>
      </c>
      <c r="I7" s="18">
        <f t="shared" si="0"/>
        <v>0.035590277777777776</v>
      </c>
      <c r="J7" s="14">
        <v>3</v>
      </c>
      <c r="K7" s="6"/>
    </row>
    <row r="8" spans="1:11" ht="15.75">
      <c r="A8" s="14">
        <v>6</v>
      </c>
      <c r="B8" s="15" t="s">
        <v>75</v>
      </c>
      <c r="C8" s="16" t="s">
        <v>84</v>
      </c>
      <c r="D8" s="17">
        <f>TIME(0,14,49+33)</f>
        <v>0.010671296296296297</v>
      </c>
      <c r="E8" s="16" t="s">
        <v>183</v>
      </c>
      <c r="F8" s="17">
        <f>TIME(0,32,41+33)-D8</f>
        <v>0.012407407407407405</v>
      </c>
      <c r="G8" s="16" t="s">
        <v>212</v>
      </c>
      <c r="H8" s="17">
        <f>TIME(0,51,25+33)-D8-F8</f>
        <v>0.013009259259259266</v>
      </c>
      <c r="I8" s="18">
        <f t="shared" si="0"/>
        <v>0.03608796296296297</v>
      </c>
      <c r="J8" s="14">
        <v>2</v>
      </c>
      <c r="K8" s="6"/>
    </row>
    <row r="9" spans="1:11" ht="15.75">
      <c r="A9" s="14">
        <v>7</v>
      </c>
      <c r="B9" s="15" t="s">
        <v>116</v>
      </c>
      <c r="C9" s="16" t="s">
        <v>170</v>
      </c>
      <c r="D9" s="17">
        <f>TIME(0,16,57+33)</f>
        <v>0.012152777777777778</v>
      </c>
      <c r="E9" s="16" t="s">
        <v>171</v>
      </c>
      <c r="F9" s="17">
        <f>TIME(0,35,7+33)-D9</f>
        <v>0.012615740740740742</v>
      </c>
      <c r="G9" s="16" t="s">
        <v>134</v>
      </c>
      <c r="H9" s="17">
        <f>TIME(0,53,53+33)-D9-F9</f>
        <v>0.013032407407407407</v>
      </c>
      <c r="I9" s="18">
        <f t="shared" si="0"/>
        <v>0.037800925925925925</v>
      </c>
      <c r="J9" s="14">
        <v>1</v>
      </c>
      <c r="K9" s="6"/>
    </row>
    <row r="10" spans="1:11" ht="15.75">
      <c r="A10" s="14">
        <v>8</v>
      </c>
      <c r="B10" s="15" t="s">
        <v>68</v>
      </c>
      <c r="C10" s="16" t="s">
        <v>70</v>
      </c>
      <c r="D10" s="17">
        <f>TIME(0,18,43)</f>
        <v>0.012997685185185183</v>
      </c>
      <c r="E10" s="16" t="s">
        <v>127</v>
      </c>
      <c r="F10" s="17">
        <f>TIME(0,38,32+33)-D10</f>
        <v>0.014143518518518522</v>
      </c>
      <c r="G10" s="16" t="s">
        <v>128</v>
      </c>
      <c r="H10" s="17">
        <f>TIME(0,56,47+33)-D10-F10</f>
        <v>0.012673611111111113</v>
      </c>
      <c r="I10" s="18">
        <f t="shared" si="0"/>
        <v>0.03981481481481482</v>
      </c>
      <c r="J10" s="14"/>
      <c r="K10" s="6"/>
    </row>
    <row r="11" spans="1:11" ht="15.75">
      <c r="A11" s="14">
        <v>9</v>
      </c>
      <c r="B11" s="15" t="s">
        <v>126</v>
      </c>
      <c r="C11" s="16" t="s">
        <v>52</v>
      </c>
      <c r="D11" s="17">
        <f>TIME(0,22,50+33)</f>
        <v>0.016238425925925924</v>
      </c>
      <c r="E11" s="16" t="s">
        <v>165</v>
      </c>
      <c r="F11" s="17">
        <f>TIME(0,40,21+33)-D11</f>
        <v>0.012164351851851853</v>
      </c>
      <c r="G11" s="16" t="s">
        <v>61</v>
      </c>
      <c r="H11" s="17">
        <f>TIME(1,0,26+33)-D11-F11</f>
        <v>0.013946759259259256</v>
      </c>
      <c r="I11" s="18">
        <f t="shared" si="0"/>
        <v>0.04234953703703703</v>
      </c>
      <c r="J11" s="14" t="s">
        <v>9</v>
      </c>
      <c r="K11" s="6"/>
    </row>
    <row r="12" spans="1:11" ht="15.75">
      <c r="A12" s="14">
        <v>10</v>
      </c>
      <c r="B12" s="15" t="s">
        <v>41</v>
      </c>
      <c r="C12" s="16" t="s">
        <v>184</v>
      </c>
      <c r="D12" s="17">
        <f>TIME(0,18,45+33)</f>
        <v>0.013402777777777777</v>
      </c>
      <c r="E12" s="16" t="s">
        <v>115</v>
      </c>
      <c r="F12" s="17">
        <f>TIME(0,37,11+33)-D12</f>
        <v>0.012800925925925927</v>
      </c>
      <c r="G12" s="16" t="s">
        <v>9</v>
      </c>
      <c r="H12" s="17" t="s">
        <v>9</v>
      </c>
      <c r="I12" s="18" t="s">
        <v>9</v>
      </c>
      <c r="J12" s="14"/>
      <c r="K12" s="6"/>
    </row>
    <row r="13" spans="1:14" ht="15.75">
      <c r="A13" s="14"/>
      <c r="B13" s="15" t="s">
        <v>162</v>
      </c>
      <c r="C13" s="16" t="s">
        <v>180</v>
      </c>
      <c r="D13" s="17">
        <f>TIME(0,19,49+33)</f>
        <v>0.014143518518518519</v>
      </c>
      <c r="E13" s="16" t="s">
        <v>9</v>
      </c>
      <c r="F13" s="17" t="s">
        <v>9</v>
      </c>
      <c r="G13" s="16" t="s">
        <v>9</v>
      </c>
      <c r="H13" s="17" t="s">
        <v>9</v>
      </c>
      <c r="I13" s="18" t="s">
        <v>9</v>
      </c>
      <c r="J13" s="14"/>
      <c r="K13" s="6"/>
      <c r="M13" s="10"/>
      <c r="N13" s="6"/>
    </row>
    <row r="14" spans="2:13" s="12" customFormat="1" ht="15.75">
      <c r="B14" s="4" t="s">
        <v>131</v>
      </c>
      <c r="C14" s="4" t="s">
        <v>215</v>
      </c>
      <c r="D14" s="4" t="s">
        <v>216</v>
      </c>
      <c r="E14" s="4" t="s">
        <v>161</v>
      </c>
      <c r="M14" s="13"/>
    </row>
    <row r="15" spans="2:13" s="12" customFormat="1" ht="15.75">
      <c r="B15" s="4"/>
      <c r="C15" s="4"/>
      <c r="D15" s="4"/>
      <c r="E15" s="4"/>
      <c r="M15" s="13"/>
    </row>
    <row r="16" spans="1:14" ht="15.75">
      <c r="A16" s="6">
        <v>1</v>
      </c>
      <c r="B16" s="5" t="s">
        <v>51</v>
      </c>
      <c r="C16" s="4">
        <v>14</v>
      </c>
      <c r="D16" s="4">
        <v>7</v>
      </c>
      <c r="E16" s="4">
        <f aca="true" t="shared" si="1" ref="E16:E23">D16+C16</f>
        <v>21</v>
      </c>
      <c r="I16" s="7"/>
      <c r="K16" s="6"/>
      <c r="M16" s="10"/>
      <c r="N16" s="6"/>
    </row>
    <row r="17" spans="1:14" ht="15.75">
      <c r="A17" s="6">
        <v>2</v>
      </c>
      <c r="B17" s="5" t="s">
        <v>24</v>
      </c>
      <c r="C17" s="4">
        <v>14</v>
      </c>
      <c r="D17" s="4">
        <v>6</v>
      </c>
      <c r="E17" s="4">
        <f t="shared" si="1"/>
        <v>20</v>
      </c>
      <c r="I17" s="7"/>
      <c r="K17" s="6"/>
      <c r="M17" s="10"/>
      <c r="N17" s="6"/>
    </row>
    <row r="18" spans="1:5" ht="15.75">
      <c r="A18" s="6">
        <v>3</v>
      </c>
      <c r="B18" s="11" t="s">
        <v>95</v>
      </c>
      <c r="C18" s="4">
        <v>14</v>
      </c>
      <c r="D18" s="4">
        <v>4</v>
      </c>
      <c r="E18" s="4">
        <f t="shared" si="1"/>
        <v>18</v>
      </c>
    </row>
    <row r="19" spans="1:5" ht="15.75">
      <c r="A19" s="6">
        <v>4</v>
      </c>
      <c r="B19" s="5" t="s">
        <v>83</v>
      </c>
      <c r="C19" s="4">
        <v>10</v>
      </c>
      <c r="D19" s="4">
        <v>5</v>
      </c>
      <c r="E19" s="4">
        <f t="shared" si="1"/>
        <v>15</v>
      </c>
    </row>
    <row r="20" spans="1:5" ht="15.75">
      <c r="A20" s="6">
        <v>5</v>
      </c>
      <c r="B20" s="5" t="s">
        <v>116</v>
      </c>
      <c r="C20" s="4">
        <v>5</v>
      </c>
      <c r="D20" s="4">
        <v>1</v>
      </c>
      <c r="E20" s="4">
        <f t="shared" si="1"/>
        <v>6</v>
      </c>
    </row>
    <row r="21" spans="2:5" ht="15.75">
      <c r="B21" s="5" t="s">
        <v>75</v>
      </c>
      <c r="C21" s="4">
        <v>4</v>
      </c>
      <c r="D21" s="4">
        <v>2</v>
      </c>
      <c r="E21" s="4">
        <f t="shared" si="1"/>
        <v>6</v>
      </c>
    </row>
    <row r="22" spans="1:5" ht="15.75">
      <c r="A22" s="6">
        <v>7</v>
      </c>
      <c r="B22" s="5" t="s">
        <v>21</v>
      </c>
      <c r="C22" s="4">
        <v>3</v>
      </c>
      <c r="D22" s="4">
        <v>3</v>
      </c>
      <c r="E22" s="4">
        <f t="shared" si="1"/>
        <v>6</v>
      </c>
    </row>
    <row r="23" spans="1:5" ht="15.75">
      <c r="A23" s="6">
        <v>8</v>
      </c>
      <c r="B23" s="5" t="s">
        <v>23</v>
      </c>
      <c r="C23" s="4">
        <v>5</v>
      </c>
      <c r="D23" s="4">
        <v>0</v>
      </c>
      <c r="E23" s="4">
        <f t="shared" si="1"/>
        <v>5</v>
      </c>
    </row>
    <row r="24" spans="1:4" ht="15.75">
      <c r="A24" s="7"/>
      <c r="B24" s="7"/>
      <c r="D24" s="7"/>
    </row>
    <row r="25" ht="15.75">
      <c r="E25" s="6"/>
    </row>
    <row r="26" spans="1:2" ht="15.75">
      <c r="A26" s="6" t="s">
        <v>9</v>
      </c>
      <c r="B26" s="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9.00390625" style="6" bestFit="1" customWidth="1"/>
    <col min="2" max="2" width="22.421875" style="5" bestFit="1" customWidth="1"/>
    <col min="3" max="3" width="16.7109375" style="7" customWidth="1"/>
    <col min="4" max="4" width="9.00390625" style="6" bestFit="1" customWidth="1"/>
    <col min="5" max="5" width="19.140625" style="7" bestFit="1" customWidth="1"/>
    <col min="6" max="6" width="9.00390625" style="6" bestFit="1" customWidth="1"/>
    <col min="7" max="7" width="27.57421875" style="7" customWidth="1"/>
    <col min="8" max="8" width="9.00390625" style="6" bestFit="1" customWidth="1"/>
    <col min="9" max="9" width="16.8515625" style="7" bestFit="1" customWidth="1"/>
    <col min="10" max="10" width="9.00390625" style="6" bestFit="1" customWidth="1"/>
    <col min="11" max="11" width="11.28125" style="6" bestFit="1" customWidth="1"/>
    <col min="12" max="13" width="9.140625" style="6" customWidth="1"/>
    <col min="14" max="16384" width="9.140625" style="7" customWidth="1"/>
  </cols>
  <sheetData>
    <row r="1" spans="1:12" s="2" customFormat="1" ht="18.75">
      <c r="A1" s="1" t="s">
        <v>164</v>
      </c>
      <c r="D1" s="3"/>
      <c r="F1" s="3"/>
      <c r="H1" s="3"/>
      <c r="I1" s="3"/>
      <c r="J1" s="3"/>
      <c r="L1" s="3"/>
    </row>
    <row r="2" spans="1:13" s="5" customFormat="1" ht="15.75">
      <c r="A2" s="4" t="s">
        <v>5</v>
      </c>
      <c r="B2" s="4" t="s">
        <v>0</v>
      </c>
      <c r="C2" s="4" t="s">
        <v>1</v>
      </c>
      <c r="D2" s="4" t="s">
        <v>8</v>
      </c>
      <c r="E2" s="4" t="s">
        <v>2</v>
      </c>
      <c r="F2" s="4" t="s">
        <v>8</v>
      </c>
      <c r="G2" s="4" t="s">
        <v>3</v>
      </c>
      <c r="H2" s="4" t="s">
        <v>8</v>
      </c>
      <c r="I2" s="4" t="s">
        <v>4</v>
      </c>
      <c r="J2" s="4" t="s">
        <v>8</v>
      </c>
      <c r="K2" s="4" t="s">
        <v>10</v>
      </c>
      <c r="L2" s="4" t="s">
        <v>86</v>
      </c>
      <c r="M2" s="4"/>
    </row>
    <row r="3" spans="1:12" ht="15.75">
      <c r="A3" s="14">
        <v>1</v>
      </c>
      <c r="B3" s="15" t="s">
        <v>47</v>
      </c>
      <c r="C3" s="16" t="s">
        <v>56</v>
      </c>
      <c r="D3" s="17">
        <f>TIME(0,13,26+33)</f>
        <v>0.009710648148148147</v>
      </c>
      <c r="E3" s="16" t="s">
        <v>125</v>
      </c>
      <c r="F3" s="17">
        <f>TIME(0,27,43+33)-D3</f>
        <v>0.009918981481481482</v>
      </c>
      <c r="G3" s="16" t="s">
        <v>55</v>
      </c>
      <c r="H3" s="17">
        <f>TIME(0,41,49+33)-D3-F3</f>
        <v>0.009791666666666669</v>
      </c>
      <c r="I3" s="16" t="s">
        <v>124</v>
      </c>
      <c r="J3" s="17">
        <f>TIME(0,55,7+33)-D3-F3-H3</f>
        <v>0.009236111111111106</v>
      </c>
      <c r="K3" s="18">
        <f>+J3+H3+F3+D3</f>
        <v>0.038657407407407404</v>
      </c>
      <c r="L3" s="14">
        <v>5</v>
      </c>
    </row>
    <row r="4" spans="1:12" ht="15.75">
      <c r="A4" s="14">
        <v>2</v>
      </c>
      <c r="B4" s="15" t="s">
        <v>16</v>
      </c>
      <c r="C4" s="16" t="s">
        <v>57</v>
      </c>
      <c r="D4" s="17">
        <f>TIME(0,14,33)</f>
        <v>0.010104166666666668</v>
      </c>
      <c r="E4" s="16" t="s">
        <v>190</v>
      </c>
      <c r="F4" s="17">
        <f>TIME(0,28,36+33)-D4</f>
        <v>0.010138888888888885</v>
      </c>
      <c r="G4" s="16" t="s">
        <v>157</v>
      </c>
      <c r="H4" s="17">
        <f>TIME(0,44,14+33)-D4-F4</f>
        <v>0.010856481481481484</v>
      </c>
      <c r="I4" s="16" t="s">
        <v>189</v>
      </c>
      <c r="J4" s="17">
        <f>TIME(0,59,45)-D4-F4-H4</f>
        <v>0.010393518518518514</v>
      </c>
      <c r="K4" s="18">
        <f>+J4+H4+F4+D4</f>
        <v>0.04149305555555555</v>
      </c>
      <c r="L4" s="14">
        <v>4</v>
      </c>
    </row>
    <row r="5" spans="1:12" ht="15.75">
      <c r="A5" s="14">
        <v>3</v>
      </c>
      <c r="B5" s="15" t="s">
        <v>21</v>
      </c>
      <c r="C5" s="16" t="s">
        <v>79</v>
      </c>
      <c r="D5" s="17">
        <f>TIME(0,14,55+33)</f>
        <v>0.01074074074074074</v>
      </c>
      <c r="E5" s="16" t="s">
        <v>191</v>
      </c>
      <c r="F5" s="17">
        <f>TIME(0,29,45+33)-D5</f>
        <v>0.010300925925925927</v>
      </c>
      <c r="G5" s="16" t="s">
        <v>152</v>
      </c>
      <c r="H5" s="17">
        <f>TIME(0,45,43+33)-D5-F5</f>
        <v>0.011087962962962961</v>
      </c>
      <c r="I5" s="16" t="s">
        <v>192</v>
      </c>
      <c r="J5" s="17">
        <f>TIME(1,1,56+33)-D5-F5-H5</f>
        <v>0.011261574074074075</v>
      </c>
      <c r="K5" s="18">
        <f>+J5+H5+F5+D5</f>
        <v>0.0433912037037037</v>
      </c>
      <c r="L5" s="14">
        <v>3</v>
      </c>
    </row>
    <row r="6" spans="1:12" ht="15.75">
      <c r="A6" s="14">
        <v>4</v>
      </c>
      <c r="B6" s="15" t="s">
        <v>23</v>
      </c>
      <c r="C6" s="16" t="s">
        <v>54</v>
      </c>
      <c r="D6" s="17">
        <f>TIME(0,13,10+33)</f>
        <v>0.009525462962962963</v>
      </c>
      <c r="E6" s="16" t="s">
        <v>101</v>
      </c>
      <c r="F6" s="17">
        <f>TIME(0,30,23+33)-D6</f>
        <v>0.011956018518518517</v>
      </c>
      <c r="G6" s="16" t="s">
        <v>160</v>
      </c>
      <c r="H6" s="17">
        <f>TIME(0,46,34+33)-D6-F6</f>
        <v>0.011238425925925924</v>
      </c>
      <c r="I6" s="16" t="s">
        <v>53</v>
      </c>
      <c r="J6" s="17">
        <f>TIME(1,2,23+33)-D6-F6-H6</f>
        <v>0.010983796296296302</v>
      </c>
      <c r="K6" s="18">
        <f>+J6+H6+F6+D6</f>
        <v>0.04370370370370371</v>
      </c>
      <c r="L6" s="14">
        <v>2</v>
      </c>
    </row>
    <row r="7" spans="1:14" ht="15.75">
      <c r="A7" s="14">
        <v>5</v>
      </c>
      <c r="B7" s="15" t="s">
        <v>32</v>
      </c>
      <c r="C7" s="16" t="s">
        <v>58</v>
      </c>
      <c r="D7" s="17">
        <f>TIME(0,12,54+33)</f>
        <v>0.009340277777777777</v>
      </c>
      <c r="E7" s="16" t="s">
        <v>122</v>
      </c>
      <c r="F7" s="17">
        <f>TIME(0,29,50+33)-D7</f>
        <v>0.011759259259259261</v>
      </c>
      <c r="G7" s="16" t="s">
        <v>121</v>
      </c>
      <c r="H7" s="17">
        <f>TIME(0,46,7+33)-D7-F7</f>
        <v>0.011307870370370367</v>
      </c>
      <c r="I7" s="16" t="s">
        <v>85</v>
      </c>
      <c r="J7" s="17">
        <f>TIME(1,13,37+33)-D7-F7-H7</f>
        <v>0.019097222222222227</v>
      </c>
      <c r="K7" s="18">
        <f>+J7+H7+F7+D7</f>
        <v>0.051504629629629636</v>
      </c>
      <c r="L7" s="14">
        <v>1</v>
      </c>
      <c r="M7" s="10"/>
      <c r="N7" s="6"/>
    </row>
    <row r="8" spans="4:14" ht="15.75">
      <c r="D8" s="8"/>
      <c r="F8" s="8"/>
      <c r="H8" s="8"/>
      <c r="J8" s="8"/>
      <c r="K8" s="9"/>
      <c r="M8" s="10"/>
      <c r="N8" s="6"/>
    </row>
    <row r="9" spans="2:13" s="12" customFormat="1" ht="15.75">
      <c r="B9" s="4" t="s">
        <v>131</v>
      </c>
      <c r="C9" s="4" t="s">
        <v>215</v>
      </c>
      <c r="D9" s="4" t="s">
        <v>216</v>
      </c>
      <c r="E9" s="4" t="s">
        <v>161</v>
      </c>
      <c r="M9" s="13"/>
    </row>
    <row r="10" spans="1:14" ht="15.75">
      <c r="A10" s="6" t="s">
        <v>9</v>
      </c>
      <c r="B10" s="7"/>
      <c r="E10" s="6"/>
      <c r="M10" s="10"/>
      <c r="N10" s="6"/>
    </row>
    <row r="11" spans="1:5" ht="15.75">
      <c r="A11" s="6">
        <v>1</v>
      </c>
      <c r="B11" s="5" t="s">
        <v>47</v>
      </c>
      <c r="C11" s="4">
        <v>13</v>
      </c>
      <c r="D11" s="4">
        <v>5</v>
      </c>
      <c r="E11" s="4">
        <f aca="true" t="shared" si="0" ref="E11:E16">D11+C11</f>
        <v>18</v>
      </c>
    </row>
    <row r="12" spans="1:5" ht="15.75">
      <c r="A12" s="6">
        <v>2</v>
      </c>
      <c r="B12" s="5" t="s">
        <v>23</v>
      </c>
      <c r="C12" s="4">
        <v>12</v>
      </c>
      <c r="D12" s="4">
        <v>2</v>
      </c>
      <c r="E12" s="4">
        <f t="shared" si="0"/>
        <v>14</v>
      </c>
    </row>
    <row r="13" spans="1:5" ht="15.75">
      <c r="A13" s="6">
        <v>3</v>
      </c>
      <c r="B13" s="5" t="s">
        <v>16</v>
      </c>
      <c r="C13" s="4">
        <v>6</v>
      </c>
      <c r="D13" s="4">
        <v>4</v>
      </c>
      <c r="E13" s="4">
        <f t="shared" si="0"/>
        <v>10</v>
      </c>
    </row>
    <row r="14" spans="1:5" ht="15.75">
      <c r="A14" s="6">
        <v>4</v>
      </c>
      <c r="B14" s="5" t="s">
        <v>21</v>
      </c>
      <c r="C14" s="4">
        <v>3</v>
      </c>
      <c r="D14" s="4">
        <v>3</v>
      </c>
      <c r="E14" s="4">
        <f t="shared" si="0"/>
        <v>6</v>
      </c>
    </row>
    <row r="15" spans="1:5" ht="15.75">
      <c r="A15" s="6">
        <v>5</v>
      </c>
      <c r="B15" s="5" t="s">
        <v>32</v>
      </c>
      <c r="C15" s="4">
        <v>3</v>
      </c>
      <c r="D15" s="4">
        <v>1</v>
      </c>
      <c r="E15" s="4">
        <f t="shared" si="0"/>
        <v>4</v>
      </c>
    </row>
    <row r="16" spans="1:5" ht="15.75">
      <c r="A16" s="6">
        <v>6</v>
      </c>
      <c r="B16" s="5" t="s">
        <v>39</v>
      </c>
      <c r="C16" s="4">
        <v>3</v>
      </c>
      <c r="D16" s="4"/>
      <c r="E16" s="4">
        <f t="shared" si="0"/>
        <v>3</v>
      </c>
    </row>
    <row r="17" spans="3:5" ht="15.75">
      <c r="C17" s="5"/>
      <c r="D17" s="4"/>
      <c r="E17" s="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9.00390625" style="6" bestFit="1" customWidth="1"/>
    <col min="2" max="2" width="24.421875" style="5" bestFit="1" customWidth="1"/>
    <col min="3" max="3" width="20.00390625" style="7" bestFit="1" customWidth="1"/>
    <col min="4" max="4" width="9.00390625" style="6" bestFit="1" customWidth="1"/>
    <col min="5" max="5" width="25.00390625" style="7" customWidth="1"/>
    <col min="6" max="6" width="9.00390625" style="6" bestFit="1" customWidth="1"/>
    <col min="7" max="7" width="21.140625" style="7" bestFit="1" customWidth="1"/>
    <col min="8" max="8" width="9.00390625" style="6" bestFit="1" customWidth="1"/>
    <col min="9" max="9" width="11.28125" style="6" bestFit="1" customWidth="1"/>
    <col min="10" max="11" width="9.140625" style="6" customWidth="1"/>
    <col min="12" max="16384" width="9.140625" style="7" customWidth="1"/>
  </cols>
  <sheetData>
    <row r="1" spans="1:11" s="2" customFormat="1" ht="18.75">
      <c r="A1" s="1" t="s">
        <v>164</v>
      </c>
      <c r="D1" s="3"/>
      <c r="F1" s="3"/>
      <c r="H1" s="3"/>
      <c r="I1" s="3"/>
      <c r="J1" s="3"/>
      <c r="K1" s="3"/>
    </row>
    <row r="2" spans="1:11" s="5" customFormat="1" ht="15.75">
      <c r="A2" s="20" t="s">
        <v>5</v>
      </c>
      <c r="B2" s="20" t="s">
        <v>0</v>
      </c>
      <c r="C2" s="20" t="s">
        <v>1</v>
      </c>
      <c r="D2" s="20" t="s">
        <v>8</v>
      </c>
      <c r="E2" s="20" t="s">
        <v>2</v>
      </c>
      <c r="F2" s="20" t="s">
        <v>8</v>
      </c>
      <c r="G2" s="20" t="s">
        <v>3</v>
      </c>
      <c r="H2" s="20" t="s">
        <v>8</v>
      </c>
      <c r="I2" s="20" t="s">
        <v>10</v>
      </c>
      <c r="J2" s="20" t="s">
        <v>86</v>
      </c>
      <c r="K2" s="4"/>
    </row>
    <row r="3" spans="1:10" ht="15.75">
      <c r="A3" s="14">
        <v>1</v>
      </c>
      <c r="B3" s="15" t="s">
        <v>21</v>
      </c>
      <c r="C3" s="16" t="s">
        <v>78</v>
      </c>
      <c r="D3" s="17">
        <f>TIME(0,14,14+33)</f>
        <v>0.010266203703703703</v>
      </c>
      <c r="E3" s="16" t="s">
        <v>87</v>
      </c>
      <c r="F3" s="17">
        <f>TIME(0,28,55+33)-D3</f>
        <v>0.010196759259259261</v>
      </c>
      <c r="G3" s="16" t="s">
        <v>153</v>
      </c>
      <c r="H3" s="17">
        <f>TIME(0,43,55+33)-D3-F3</f>
        <v>0.01041666666666667</v>
      </c>
      <c r="I3" s="18">
        <f aca="true" t="shared" si="0" ref="I3:I9">+H3+F3+D3</f>
        <v>0.030879629629629632</v>
      </c>
      <c r="J3" s="14">
        <v>5</v>
      </c>
    </row>
    <row r="4" spans="1:10" ht="15.75">
      <c r="A4" s="14">
        <v>2</v>
      </c>
      <c r="B4" s="15" t="s">
        <v>43</v>
      </c>
      <c r="C4" s="16" t="s">
        <v>202</v>
      </c>
      <c r="D4" s="17">
        <f>TIME(0,14,37+33)</f>
        <v>0.010532407407407407</v>
      </c>
      <c r="E4" s="16" t="s">
        <v>205</v>
      </c>
      <c r="F4" s="17">
        <f>TIME(0,30,25+33)-D4</f>
        <v>0.01097222222222222</v>
      </c>
      <c r="G4" s="16" t="s">
        <v>79</v>
      </c>
      <c r="H4" s="17">
        <f>TIME(0,46,56+33)-D4-F4</f>
        <v>0.011469907407407411</v>
      </c>
      <c r="I4" s="18">
        <f t="shared" si="0"/>
        <v>0.03297453703703704</v>
      </c>
      <c r="J4" s="14"/>
    </row>
    <row r="5" spans="1:10" ht="15.75">
      <c r="A5" s="14">
        <v>3</v>
      </c>
      <c r="B5" s="15" t="s">
        <v>45</v>
      </c>
      <c r="C5" s="16" t="s">
        <v>159</v>
      </c>
      <c r="D5" s="17">
        <f>TIME(0,16,47+33)</f>
        <v>0.012037037037037035</v>
      </c>
      <c r="E5" s="16" t="s">
        <v>208</v>
      </c>
      <c r="F5" s="17">
        <f>TIME(0,32,4+33)-D5</f>
        <v>0.01061342592592593</v>
      </c>
      <c r="G5" s="16" t="s">
        <v>209</v>
      </c>
      <c r="H5" s="17">
        <f>TIME(0,47,9+33)-D5-F5</f>
        <v>0.010474537037037037</v>
      </c>
      <c r="I5" s="18">
        <f t="shared" si="0"/>
        <v>0.033125</v>
      </c>
      <c r="J5" s="14">
        <v>4</v>
      </c>
    </row>
    <row r="6" spans="1:10" ht="15.75">
      <c r="A6" s="14">
        <v>4</v>
      </c>
      <c r="B6" s="15" t="s">
        <v>75</v>
      </c>
      <c r="C6" s="16" t="s">
        <v>137</v>
      </c>
      <c r="D6" s="17">
        <f>TIME(0,16,2)</f>
        <v>0.01113425925925926</v>
      </c>
      <c r="E6" s="16" t="s">
        <v>76</v>
      </c>
      <c r="F6" s="17">
        <f>TIME(0,32,23)-D6</f>
        <v>0.011354166666666665</v>
      </c>
      <c r="G6" s="16" t="s">
        <v>77</v>
      </c>
      <c r="H6" s="17">
        <f>TIME(0,48,52)-D6-F6</f>
        <v>0.01144675925925926</v>
      </c>
      <c r="I6" s="18">
        <f t="shared" si="0"/>
        <v>0.033935185185185186</v>
      </c>
      <c r="J6" s="14">
        <v>3</v>
      </c>
    </row>
    <row r="7" spans="1:10" ht="15.75">
      <c r="A7" s="14">
        <v>5</v>
      </c>
      <c r="B7" s="15" t="s">
        <v>31</v>
      </c>
      <c r="C7" s="16" t="s">
        <v>203</v>
      </c>
      <c r="D7" s="17">
        <f>TIME(0,16,35+33)</f>
        <v>0.011898148148148149</v>
      </c>
      <c r="E7" s="16" t="s">
        <v>204</v>
      </c>
      <c r="F7" s="17">
        <f>TIME(0,33,39+33)-D7</f>
        <v>0.011851851851851855</v>
      </c>
      <c r="G7" s="16" t="s">
        <v>78</v>
      </c>
      <c r="H7" s="17">
        <f>TIME(0,49,12+33)-D7-F7</f>
        <v>0.010798611111111108</v>
      </c>
      <c r="I7" s="18">
        <f t="shared" si="0"/>
        <v>0.03454861111111111</v>
      </c>
      <c r="J7" s="14"/>
    </row>
    <row r="8" spans="1:10" ht="15.75">
      <c r="A8" s="14">
        <v>6</v>
      </c>
      <c r="B8" s="15" t="s">
        <v>94</v>
      </c>
      <c r="C8" s="16" t="s">
        <v>40</v>
      </c>
      <c r="D8" s="17">
        <f>TIME(0,16,32+33)</f>
        <v>0.011863425925925925</v>
      </c>
      <c r="E8" s="16" t="s">
        <v>111</v>
      </c>
      <c r="F8" s="17">
        <f>TIME(0,33,26+33)-D8</f>
        <v>0.011736111111111116</v>
      </c>
      <c r="G8" s="16" t="s">
        <v>217</v>
      </c>
      <c r="H8" s="17">
        <f>TIME(0,49,50)-D8-F8</f>
        <v>0.011006944444444442</v>
      </c>
      <c r="I8" s="18">
        <f t="shared" si="0"/>
        <v>0.03460648148148148</v>
      </c>
      <c r="J8" s="14">
        <v>2</v>
      </c>
    </row>
    <row r="9" spans="1:10" ht="15.75">
      <c r="A9" s="14">
        <v>7</v>
      </c>
      <c r="B9" s="15" t="s">
        <v>71</v>
      </c>
      <c r="C9" s="16" t="s">
        <v>88</v>
      </c>
      <c r="D9" s="17">
        <f>TIME(0,15,25+33)</f>
        <v>0.011087962962962964</v>
      </c>
      <c r="E9" s="16" t="s">
        <v>90</v>
      </c>
      <c r="F9" s="17">
        <f>TIME(0,31,59+33)-D9</f>
        <v>0.011504629629629627</v>
      </c>
      <c r="G9" s="16" t="s">
        <v>210</v>
      </c>
      <c r="H9" s="17">
        <f>TIME(0,51,7+33)-D9-F9</f>
        <v>0.013287037037037036</v>
      </c>
      <c r="I9" s="18">
        <f t="shared" si="0"/>
        <v>0.03587962962962963</v>
      </c>
      <c r="J9" s="14">
        <v>1</v>
      </c>
    </row>
    <row r="10" spans="2:13" s="12" customFormat="1" ht="15.75">
      <c r="B10" s="4" t="s">
        <v>131</v>
      </c>
      <c r="C10" s="4" t="s">
        <v>215</v>
      </c>
      <c r="D10" s="4" t="s">
        <v>216</v>
      </c>
      <c r="E10" s="4" t="s">
        <v>161</v>
      </c>
      <c r="M10" s="13"/>
    </row>
    <row r="11" spans="1:13" ht="15.75">
      <c r="A11" s="6" t="s">
        <v>9</v>
      </c>
      <c r="B11" s="7"/>
      <c r="C11" s="4"/>
      <c r="D11" s="4"/>
      <c r="I11" s="7"/>
      <c r="L11" s="10"/>
      <c r="M11" s="6"/>
    </row>
    <row r="12" spans="1:5" ht="15.75">
      <c r="A12" s="6">
        <v>1</v>
      </c>
      <c r="B12" s="5" t="s">
        <v>21</v>
      </c>
      <c r="C12" s="4">
        <v>15</v>
      </c>
      <c r="D12" s="6">
        <v>5</v>
      </c>
      <c r="E12" s="6">
        <f aca="true" t="shared" si="1" ref="E12:E17">D12+C12</f>
        <v>20</v>
      </c>
    </row>
    <row r="13" spans="1:5" ht="15.75">
      <c r="A13" s="6">
        <v>2</v>
      </c>
      <c r="B13" s="5" t="s">
        <v>45</v>
      </c>
      <c r="C13" s="4">
        <v>11</v>
      </c>
      <c r="D13" s="6">
        <v>4</v>
      </c>
      <c r="E13" s="6">
        <f t="shared" si="1"/>
        <v>15</v>
      </c>
    </row>
    <row r="14" spans="1:5" ht="15.75">
      <c r="A14" s="6">
        <v>3</v>
      </c>
      <c r="B14" s="5" t="s">
        <v>75</v>
      </c>
      <c r="C14" s="4">
        <v>11</v>
      </c>
      <c r="D14" s="6">
        <v>3</v>
      </c>
      <c r="E14" s="6">
        <f t="shared" si="1"/>
        <v>14</v>
      </c>
    </row>
    <row r="15" spans="1:5" ht="15.75">
      <c r="A15" s="6">
        <v>4</v>
      </c>
      <c r="B15" s="5" t="s">
        <v>71</v>
      </c>
      <c r="C15" s="4">
        <v>8</v>
      </c>
      <c r="D15" s="6">
        <v>1</v>
      </c>
      <c r="E15" s="6">
        <f t="shared" si="1"/>
        <v>9</v>
      </c>
    </row>
    <row r="16" spans="1:5" ht="15.75">
      <c r="A16" s="6">
        <v>5</v>
      </c>
      <c r="B16" s="5" t="s">
        <v>94</v>
      </c>
      <c r="C16" s="4">
        <v>4</v>
      </c>
      <c r="D16" s="6">
        <v>2</v>
      </c>
      <c r="E16" s="6">
        <f t="shared" si="1"/>
        <v>6</v>
      </c>
    </row>
    <row r="17" spans="1:5" ht="15.75">
      <c r="A17" s="6">
        <v>6</v>
      </c>
      <c r="B17" s="5" t="s">
        <v>32</v>
      </c>
      <c r="C17" s="4">
        <v>2</v>
      </c>
      <c r="D17" s="6">
        <v>0</v>
      </c>
      <c r="E17" s="6">
        <f t="shared" si="1"/>
        <v>2</v>
      </c>
    </row>
    <row r="18" ht="15.75">
      <c r="C18" s="4"/>
    </row>
    <row r="19" ht="15.75">
      <c r="C19" s="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9.00390625" style="6" bestFit="1" customWidth="1"/>
    <col min="2" max="2" width="21.421875" style="5" bestFit="1" customWidth="1"/>
    <col min="3" max="3" width="19.00390625" style="7" customWidth="1"/>
    <col min="4" max="4" width="9.00390625" style="6" bestFit="1" customWidth="1"/>
    <col min="5" max="5" width="17.7109375" style="7" bestFit="1" customWidth="1"/>
    <col min="6" max="6" width="9.00390625" style="6" bestFit="1" customWidth="1"/>
    <col min="7" max="7" width="15.57421875" style="7" customWidth="1"/>
    <col min="8" max="8" width="9.00390625" style="6" bestFit="1" customWidth="1"/>
    <col min="9" max="9" width="11.28125" style="6" bestFit="1" customWidth="1"/>
    <col min="10" max="16384" width="9.140625" style="7" customWidth="1"/>
  </cols>
  <sheetData>
    <row r="1" spans="1:9" s="2" customFormat="1" ht="18.75">
      <c r="A1" s="1" t="s">
        <v>164</v>
      </c>
      <c r="D1" s="3"/>
      <c r="F1" s="3"/>
      <c r="H1" s="3"/>
      <c r="I1" s="3"/>
    </row>
    <row r="2" spans="1:10" s="5" customFormat="1" ht="15.75">
      <c r="A2" s="4" t="s">
        <v>5</v>
      </c>
      <c r="B2" s="4" t="s">
        <v>0</v>
      </c>
      <c r="C2" s="4" t="s">
        <v>1</v>
      </c>
      <c r="D2" s="4" t="s">
        <v>8</v>
      </c>
      <c r="E2" s="4" t="s">
        <v>2</v>
      </c>
      <c r="F2" s="4" t="s">
        <v>8</v>
      </c>
      <c r="G2" s="4" t="s">
        <v>3</v>
      </c>
      <c r="H2" s="4" t="s">
        <v>8</v>
      </c>
      <c r="I2" s="4" t="s">
        <v>10</v>
      </c>
      <c r="J2" s="4" t="s">
        <v>86</v>
      </c>
    </row>
    <row r="3" spans="1:10" s="5" customFormat="1" ht="15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5.75">
      <c r="A4" s="14">
        <v>1</v>
      </c>
      <c r="B4" s="15" t="s">
        <v>16</v>
      </c>
      <c r="C4" s="16" t="s">
        <v>91</v>
      </c>
      <c r="D4" s="17">
        <f>TIME(0,14,56+33)</f>
        <v>0.010752314814814817</v>
      </c>
      <c r="E4" s="16" t="s">
        <v>92</v>
      </c>
      <c r="F4" s="17">
        <f>TIME(0,34,2+33)-D4</f>
        <v>0.01326388888888889</v>
      </c>
      <c r="G4" s="16" t="s">
        <v>211</v>
      </c>
      <c r="H4" s="17">
        <f>TIME(0,52,29+33)-D4-F4</f>
        <v>0.012812499999999996</v>
      </c>
      <c r="I4" s="18">
        <f>+H4+F4+D4</f>
        <v>0.036828703703703704</v>
      </c>
      <c r="J4" s="14">
        <v>2</v>
      </c>
    </row>
    <row r="5" spans="1:10" ht="15.75">
      <c r="A5" s="14">
        <v>2</v>
      </c>
      <c r="B5" s="15" t="s">
        <v>32</v>
      </c>
      <c r="C5" s="16" t="s">
        <v>163</v>
      </c>
      <c r="D5" s="17">
        <f>TIME(0,16,38)</f>
        <v>0.011550925925925925</v>
      </c>
      <c r="E5" s="16" t="s">
        <v>201</v>
      </c>
      <c r="F5" s="17">
        <f>TIME(0,34,11+33)-D5</f>
        <v>0.012569444444444447</v>
      </c>
      <c r="G5" s="16" t="s">
        <v>133</v>
      </c>
      <c r="H5" s="17">
        <f>TIME(0,57,57+33)-D5-F5</f>
        <v>0.016504629629629633</v>
      </c>
      <c r="I5" s="18">
        <f>+H5+F5+D5</f>
        <v>0.040625</v>
      </c>
      <c r="J5" s="14">
        <v>1</v>
      </c>
    </row>
    <row r="6" spans="1:12" ht="15.75">
      <c r="A6" s="14"/>
      <c r="B6" s="15"/>
      <c r="C6" s="16"/>
      <c r="D6" s="14"/>
      <c r="E6" s="16"/>
      <c r="F6" s="14"/>
      <c r="G6" s="16"/>
      <c r="H6" s="14"/>
      <c r="I6" s="14"/>
      <c r="J6" s="16"/>
      <c r="K6" s="10"/>
      <c r="L6" s="6"/>
    </row>
    <row r="7" spans="4:12" ht="15.75">
      <c r="D7" s="8"/>
      <c r="F7" s="8"/>
      <c r="H7" s="8"/>
      <c r="I7" s="9"/>
      <c r="J7" s="6"/>
      <c r="K7" s="10"/>
      <c r="L7" s="6"/>
    </row>
    <row r="8" spans="2:13" s="12" customFormat="1" ht="15.75">
      <c r="B8" s="4" t="s">
        <v>131</v>
      </c>
      <c r="C8" s="4" t="s">
        <v>215</v>
      </c>
      <c r="D8" s="4" t="s">
        <v>216</v>
      </c>
      <c r="E8" s="4" t="s">
        <v>161</v>
      </c>
      <c r="M8" s="13"/>
    </row>
    <row r="9" spans="1:12" ht="15.75">
      <c r="A9" s="6" t="s">
        <v>9</v>
      </c>
      <c r="B9" s="7"/>
      <c r="C9" s="4"/>
      <c r="D9" s="4"/>
      <c r="I9" s="7"/>
      <c r="J9" s="6"/>
      <c r="K9" s="10"/>
      <c r="L9" s="6"/>
    </row>
    <row r="10" spans="1:5" ht="15.75">
      <c r="A10" s="6">
        <v>1</v>
      </c>
      <c r="B10" s="5" t="s">
        <v>16</v>
      </c>
      <c r="C10" s="4">
        <v>5</v>
      </c>
      <c r="D10" s="4">
        <v>2</v>
      </c>
      <c r="E10" s="4">
        <f>D10+C10</f>
        <v>7</v>
      </c>
    </row>
    <row r="11" spans="2:5" ht="15.75">
      <c r="B11" s="5" t="s">
        <v>21</v>
      </c>
      <c r="C11" s="4">
        <v>7</v>
      </c>
      <c r="D11" s="4"/>
      <c r="E11" s="4">
        <f>D11+C11</f>
        <v>7</v>
      </c>
    </row>
    <row r="12" spans="1:5" ht="15.75">
      <c r="A12" s="6">
        <v>3</v>
      </c>
      <c r="B12" s="5" t="s">
        <v>32</v>
      </c>
      <c r="C12" s="4">
        <v>3</v>
      </c>
      <c r="D12" s="4">
        <v>1</v>
      </c>
      <c r="E12" s="4">
        <f>D12+C12</f>
        <v>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9.00390625" style="6" bestFit="1" customWidth="1"/>
    <col min="2" max="2" width="24.421875" style="5" bestFit="1" customWidth="1"/>
    <col min="3" max="3" width="24.8515625" style="7" customWidth="1"/>
    <col min="4" max="4" width="9.00390625" style="6" bestFit="1" customWidth="1"/>
    <col min="5" max="5" width="20.421875" style="7" customWidth="1"/>
    <col min="6" max="6" width="9.00390625" style="6" bestFit="1" customWidth="1"/>
    <col min="7" max="7" width="24.00390625" style="7" bestFit="1" customWidth="1"/>
    <col min="8" max="8" width="9.00390625" style="6" bestFit="1" customWidth="1"/>
    <col min="9" max="9" width="11.28125" style="6" bestFit="1" customWidth="1"/>
    <col min="10" max="16384" width="9.140625" style="7" customWidth="1"/>
  </cols>
  <sheetData>
    <row r="1" spans="1:9" s="2" customFormat="1" ht="18.75">
      <c r="A1" s="1" t="s">
        <v>164</v>
      </c>
      <c r="D1" s="3"/>
      <c r="F1" s="3"/>
      <c r="H1" s="3"/>
      <c r="I1" s="3"/>
    </row>
    <row r="2" spans="1:10" s="5" customFormat="1" ht="15.75">
      <c r="A2" s="20" t="s">
        <v>5</v>
      </c>
      <c r="B2" s="20" t="s">
        <v>0</v>
      </c>
      <c r="C2" s="20" t="s">
        <v>1</v>
      </c>
      <c r="D2" s="20" t="s">
        <v>8</v>
      </c>
      <c r="E2" s="20" t="s">
        <v>2</v>
      </c>
      <c r="F2" s="20" t="s">
        <v>8</v>
      </c>
      <c r="G2" s="20" t="s">
        <v>3</v>
      </c>
      <c r="H2" s="20" t="s">
        <v>8</v>
      </c>
      <c r="I2" s="20" t="s">
        <v>10</v>
      </c>
      <c r="J2" s="20" t="s">
        <v>86</v>
      </c>
    </row>
    <row r="3" spans="1:10" ht="15.75">
      <c r="A3" s="14">
        <v>1</v>
      </c>
      <c r="B3" s="15" t="s">
        <v>45</v>
      </c>
      <c r="C3" s="16" t="s">
        <v>96</v>
      </c>
      <c r="D3" s="17">
        <f>TIME(0,14,5+33)</f>
        <v>0.010162037037037037</v>
      </c>
      <c r="E3" s="16" t="s">
        <v>167</v>
      </c>
      <c r="F3" s="17">
        <f>TIME(0,35,18+33)-D3</f>
        <v>0.014733796296296299</v>
      </c>
      <c r="G3" s="16" t="s">
        <v>158</v>
      </c>
      <c r="H3" s="17">
        <f>TIME(0,52,1+33)-D3-F3</f>
        <v>0.011608796296296292</v>
      </c>
      <c r="I3" s="18">
        <f>+H3+F3+D3</f>
        <v>0.03650462962962963</v>
      </c>
      <c r="J3" s="14">
        <v>3</v>
      </c>
    </row>
    <row r="4" spans="1:10" ht="15.75">
      <c r="A4" s="14">
        <v>2</v>
      </c>
      <c r="B4" s="15" t="s">
        <v>71</v>
      </c>
      <c r="C4" s="16" t="s">
        <v>138</v>
      </c>
      <c r="D4" s="17">
        <f>TIME(0,16,38+33)</f>
        <v>0.011932870370370371</v>
      </c>
      <c r="E4" s="16" t="s">
        <v>129</v>
      </c>
      <c r="F4" s="17">
        <f>TIME(0,34,7+33)-D4</f>
        <v>0.0121412037037037</v>
      </c>
      <c r="G4" s="16" t="s">
        <v>143</v>
      </c>
      <c r="H4" s="17">
        <f>TIME(0,51,24+33)-D4-F4</f>
        <v>0.012002314814814816</v>
      </c>
      <c r="I4" s="18">
        <f>+H4+F4+D4</f>
        <v>0.03607638888888889</v>
      </c>
      <c r="J4" s="14">
        <v>2</v>
      </c>
    </row>
    <row r="5" spans="1:10" ht="15.75">
      <c r="A5" s="14">
        <v>3</v>
      </c>
      <c r="B5" s="15" t="s">
        <v>32</v>
      </c>
      <c r="C5" s="16" t="s">
        <v>169</v>
      </c>
      <c r="D5" s="17">
        <f>TIME(0,16,19+33)</f>
        <v>0.011712962962962965</v>
      </c>
      <c r="E5" s="16" t="s">
        <v>59</v>
      </c>
      <c r="F5" s="17">
        <f>TIME(0,34,23+33)-D5</f>
        <v>0.012546296296296293</v>
      </c>
      <c r="G5" s="16" t="s">
        <v>118</v>
      </c>
      <c r="H5" s="17">
        <f>TIME(0,51,36)-D5-F5</f>
        <v>0.011574074074074075</v>
      </c>
      <c r="I5" s="18">
        <f>+H5+F5+D5</f>
        <v>0.035833333333333335</v>
      </c>
      <c r="J5" s="14">
        <v>1</v>
      </c>
    </row>
    <row r="7" spans="2:13" s="12" customFormat="1" ht="15.75">
      <c r="B7" s="4" t="s">
        <v>131</v>
      </c>
      <c r="C7" s="4" t="s">
        <v>215</v>
      </c>
      <c r="D7" s="4" t="s">
        <v>216</v>
      </c>
      <c r="E7" s="4" t="s">
        <v>161</v>
      </c>
      <c r="M7" s="13"/>
    </row>
    <row r="9" spans="1:5" ht="15.75">
      <c r="A9" s="6">
        <v>1</v>
      </c>
      <c r="B9" s="5" t="s">
        <v>45</v>
      </c>
      <c r="C9" s="4">
        <v>11</v>
      </c>
      <c r="D9" s="4">
        <v>3</v>
      </c>
      <c r="E9" s="4">
        <f>C9+D9</f>
        <v>14</v>
      </c>
    </row>
    <row r="10" spans="1:5" ht="15.75">
      <c r="A10" s="6">
        <v>2</v>
      </c>
      <c r="B10" s="5" t="s">
        <v>71</v>
      </c>
      <c r="C10" s="4">
        <v>10</v>
      </c>
      <c r="D10" s="4">
        <v>2</v>
      </c>
      <c r="E10" s="4">
        <f>C10+D10</f>
        <v>12</v>
      </c>
    </row>
    <row r="11" spans="1:5" ht="15.75">
      <c r="A11" s="6">
        <v>3</v>
      </c>
      <c r="B11" s="5" t="s">
        <v>32</v>
      </c>
      <c r="C11" s="4">
        <v>5</v>
      </c>
      <c r="D11" s="4">
        <v>1</v>
      </c>
      <c r="E11" s="4">
        <f>C11+D11</f>
        <v>6</v>
      </c>
    </row>
    <row r="12" spans="1:5" ht="15.75">
      <c r="A12" s="6">
        <v>4</v>
      </c>
      <c r="B12" s="5" t="s">
        <v>21</v>
      </c>
      <c r="C12" s="4">
        <v>3</v>
      </c>
      <c r="D12" s="4"/>
      <c r="E12" s="4">
        <f>C12+D12</f>
        <v>3</v>
      </c>
    </row>
    <row r="13" spans="1:5" ht="15.75">
      <c r="A13" s="6">
        <v>5</v>
      </c>
      <c r="B13" s="5" t="s">
        <v>94</v>
      </c>
      <c r="C13" s="4">
        <v>2</v>
      </c>
      <c r="D13" s="4"/>
      <c r="E13" s="4">
        <f>C13+D13</f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9.00390625" style="6" bestFit="1" customWidth="1"/>
    <col min="2" max="2" width="22.7109375" style="5" bestFit="1" customWidth="1"/>
    <col min="3" max="3" width="25.7109375" style="7" bestFit="1" customWidth="1"/>
    <col min="4" max="4" width="9.00390625" style="6" bestFit="1" customWidth="1"/>
    <col min="5" max="5" width="19.7109375" style="7" bestFit="1" customWidth="1"/>
    <col min="6" max="6" width="9.00390625" style="6" bestFit="1" customWidth="1"/>
    <col min="7" max="7" width="15.8515625" style="7" bestFit="1" customWidth="1"/>
    <col min="8" max="8" width="9.00390625" style="6" bestFit="1" customWidth="1"/>
    <col min="9" max="9" width="11.28125" style="6" bestFit="1" customWidth="1"/>
    <col min="10" max="10" width="9.140625" style="6" customWidth="1"/>
    <col min="11" max="16384" width="9.140625" style="7" customWidth="1"/>
  </cols>
  <sheetData>
    <row r="1" spans="1:10" s="2" customFormat="1" ht="18.75">
      <c r="A1" s="1" t="s">
        <v>164</v>
      </c>
      <c r="D1" s="3"/>
      <c r="F1" s="3"/>
      <c r="H1" s="3"/>
      <c r="I1" s="3"/>
      <c r="J1" s="3"/>
    </row>
    <row r="2" spans="1:10" s="5" customFormat="1" ht="15.75">
      <c r="A2" s="4" t="s">
        <v>5</v>
      </c>
      <c r="B2" s="4" t="s">
        <v>0</v>
      </c>
      <c r="C2" s="4" t="s">
        <v>1</v>
      </c>
      <c r="D2" s="4" t="s">
        <v>8</v>
      </c>
      <c r="E2" s="4" t="s">
        <v>2</v>
      </c>
      <c r="F2" s="4" t="s">
        <v>8</v>
      </c>
      <c r="G2" s="4" t="s">
        <v>3</v>
      </c>
      <c r="H2" s="4" t="s">
        <v>8</v>
      </c>
      <c r="I2" s="4" t="s">
        <v>10</v>
      </c>
      <c r="J2" s="4" t="s">
        <v>86</v>
      </c>
    </row>
    <row r="3" spans="1:10" ht="15.75">
      <c r="A3" s="14">
        <v>1</v>
      </c>
      <c r="B3" s="15" t="s">
        <v>23</v>
      </c>
      <c r="C3" s="16" t="s">
        <v>62</v>
      </c>
      <c r="D3" s="17">
        <f>TIME(0,16,49+33)</f>
        <v>0.012060185185185186</v>
      </c>
      <c r="E3" s="16" t="s">
        <v>63</v>
      </c>
      <c r="F3" s="17">
        <f>TIME(0,34,10)-D3</f>
        <v>0.011666666666666664</v>
      </c>
      <c r="G3" s="16" t="s">
        <v>166</v>
      </c>
      <c r="H3" s="17">
        <f>TIME(0,50,54+33)-D3-F3</f>
        <v>0.012002314814814815</v>
      </c>
      <c r="I3" s="18">
        <f aca="true" t="shared" si="0" ref="I3:I8">+H3+F3+D3</f>
        <v>0.035729166666666666</v>
      </c>
      <c r="J3" s="14">
        <v>5</v>
      </c>
    </row>
    <row r="4" spans="1:10" ht="15.75">
      <c r="A4" s="14">
        <v>2</v>
      </c>
      <c r="B4" s="15" t="s">
        <v>32</v>
      </c>
      <c r="C4" s="16" t="s">
        <v>65</v>
      </c>
      <c r="D4" s="17">
        <f>TIME(0,16,52+33)</f>
        <v>0.012094907407407408</v>
      </c>
      <c r="E4" s="16" t="s">
        <v>117</v>
      </c>
      <c r="F4" s="17">
        <f>TIME(0,36,29+33)-D4</f>
        <v>0.013622685185185186</v>
      </c>
      <c r="G4" s="16" t="s">
        <v>64</v>
      </c>
      <c r="H4" s="17">
        <f>TIME(0,54,41+33)-D4-F4</f>
        <v>0.01263888888888889</v>
      </c>
      <c r="I4" s="18">
        <f t="shared" si="0"/>
        <v>0.038356481481481484</v>
      </c>
      <c r="J4" s="14">
        <v>4</v>
      </c>
    </row>
    <row r="5" spans="1:10" ht="15.75">
      <c r="A5" s="14">
        <v>3</v>
      </c>
      <c r="B5" s="15" t="s">
        <v>73</v>
      </c>
      <c r="C5" s="16" t="s">
        <v>144</v>
      </c>
      <c r="D5" s="17">
        <f>TIME(0,17,16+33)</f>
        <v>0.012372685185185186</v>
      </c>
      <c r="E5" s="16" t="s">
        <v>145</v>
      </c>
      <c r="F5" s="17">
        <f>TIME(0,36,7+33)-D5</f>
        <v>0.013090277777777775</v>
      </c>
      <c r="G5" s="16" t="s">
        <v>67</v>
      </c>
      <c r="H5" s="17">
        <f>TIME(0,55,35+33)-D5-F5</f>
        <v>0.013518518518518522</v>
      </c>
      <c r="I5" s="18">
        <f t="shared" si="0"/>
        <v>0.038981481481481485</v>
      </c>
      <c r="J5" s="14">
        <v>3</v>
      </c>
    </row>
    <row r="6" spans="1:10" ht="15.75">
      <c r="A6" s="14">
        <v>4</v>
      </c>
      <c r="B6" s="15" t="s">
        <v>97</v>
      </c>
      <c r="C6" s="16" t="s">
        <v>98</v>
      </c>
      <c r="D6" s="17">
        <f>TIME(0,18,36)</f>
        <v>0.012916666666666667</v>
      </c>
      <c r="E6" s="16" t="s">
        <v>74</v>
      </c>
      <c r="F6" s="17">
        <f>TIME(0,37,22+33)-D6</f>
        <v>0.013414351851851851</v>
      </c>
      <c r="G6" s="16" t="s">
        <v>172</v>
      </c>
      <c r="H6" s="17">
        <f>TIME(0,55,35+33)-D6-F6</f>
        <v>0.012650462962962968</v>
      </c>
      <c r="I6" s="18">
        <f t="shared" si="0"/>
        <v>0.038981481481481485</v>
      </c>
      <c r="J6" s="14">
        <v>2</v>
      </c>
    </row>
    <row r="7" spans="1:10" ht="15.75">
      <c r="A7" s="14">
        <v>5</v>
      </c>
      <c r="B7" s="15" t="s">
        <v>21</v>
      </c>
      <c r="C7" s="16" t="s">
        <v>173</v>
      </c>
      <c r="D7" s="17">
        <f>TIME(0,21,6+33)</f>
        <v>0.01503472222222222</v>
      </c>
      <c r="E7" s="16" t="s">
        <v>175</v>
      </c>
      <c r="F7" s="17">
        <f>TIME(0,41,57+33)-D7</f>
        <v>0.014479166666666671</v>
      </c>
      <c r="G7" s="16" t="s">
        <v>174</v>
      </c>
      <c r="H7" s="17">
        <f>TIME(0,59,56+33)-D7-F7</f>
        <v>0.01248842592592592</v>
      </c>
      <c r="I7" s="18">
        <f t="shared" si="0"/>
        <v>0.04200231481481481</v>
      </c>
      <c r="J7" s="14">
        <v>1</v>
      </c>
    </row>
    <row r="8" spans="1:10" ht="15.75">
      <c r="A8" s="14">
        <v>6</v>
      </c>
      <c r="B8" s="15" t="s">
        <v>46</v>
      </c>
      <c r="C8" s="16" t="s">
        <v>176</v>
      </c>
      <c r="D8" s="17">
        <f>TIME(0,19,50+33)</f>
        <v>0.014155092592592592</v>
      </c>
      <c r="E8" s="16" t="s">
        <v>139</v>
      </c>
      <c r="F8" s="17">
        <f>TIME(0,42,49+33)-D8</f>
        <v>0.015960648148148147</v>
      </c>
      <c r="G8" s="16" t="s">
        <v>146</v>
      </c>
      <c r="H8" s="17">
        <f>TIME(1,4,49+33)-D8-F8</f>
        <v>0.015277777777777779</v>
      </c>
      <c r="I8" s="18">
        <f t="shared" si="0"/>
        <v>0.04539351851851852</v>
      </c>
      <c r="J8" s="14"/>
    </row>
    <row r="9" spans="1:10" ht="15.75">
      <c r="A9" s="14" t="s">
        <v>9</v>
      </c>
      <c r="B9" s="15" t="s">
        <v>177</v>
      </c>
      <c r="C9" s="16" t="s">
        <v>178</v>
      </c>
      <c r="D9" s="17">
        <f>TIME(0,21,45+33)</f>
        <v>0.015486111111111112</v>
      </c>
      <c r="E9" s="16" t="s">
        <v>179</v>
      </c>
      <c r="F9" s="17">
        <f>TIME(0,42,12+33)-D9</f>
        <v>0.01420138888888889</v>
      </c>
      <c r="G9" s="16"/>
      <c r="H9" s="17"/>
      <c r="I9" s="18"/>
      <c r="J9" s="14"/>
    </row>
    <row r="10" spans="2:13" s="12" customFormat="1" ht="15.75">
      <c r="B10" s="4" t="s">
        <v>131</v>
      </c>
      <c r="C10" s="4" t="s">
        <v>215</v>
      </c>
      <c r="D10" s="4" t="s">
        <v>216</v>
      </c>
      <c r="E10" s="4" t="s">
        <v>161</v>
      </c>
      <c r="M10" s="13"/>
    </row>
    <row r="11" spans="1:9" ht="15.75">
      <c r="A11" s="6" t="s">
        <v>9</v>
      </c>
      <c r="B11" s="7"/>
      <c r="D11" s="7"/>
      <c r="I11" s="7"/>
    </row>
    <row r="12" spans="1:5" ht="15.75">
      <c r="A12" s="6">
        <v>1</v>
      </c>
      <c r="B12" s="5" t="s">
        <v>23</v>
      </c>
      <c r="C12" s="4">
        <v>16</v>
      </c>
      <c r="D12" s="4">
        <v>5</v>
      </c>
      <c r="E12" s="4">
        <f aca="true" t="shared" si="1" ref="E12:E17">C12+D12</f>
        <v>21</v>
      </c>
    </row>
    <row r="13" spans="1:5" ht="15.75">
      <c r="A13" s="6">
        <v>2</v>
      </c>
      <c r="B13" s="5" t="s">
        <v>73</v>
      </c>
      <c r="C13" s="4">
        <v>13</v>
      </c>
      <c r="D13" s="4">
        <v>3</v>
      </c>
      <c r="E13" s="4">
        <f t="shared" si="1"/>
        <v>16</v>
      </c>
    </row>
    <row r="14" spans="1:5" ht="15.75">
      <c r="A14" s="6">
        <v>3</v>
      </c>
      <c r="B14" s="5" t="s">
        <v>32</v>
      </c>
      <c r="C14" s="4">
        <v>9</v>
      </c>
      <c r="D14" s="4">
        <v>4</v>
      </c>
      <c r="E14" s="4">
        <f t="shared" si="1"/>
        <v>13</v>
      </c>
    </row>
    <row r="15" spans="1:5" ht="15.75">
      <c r="A15" s="6">
        <v>4</v>
      </c>
      <c r="B15" s="5" t="s">
        <v>97</v>
      </c>
      <c r="C15" s="4">
        <v>7</v>
      </c>
      <c r="D15" s="4">
        <v>2</v>
      </c>
      <c r="E15" s="4">
        <f t="shared" si="1"/>
        <v>9</v>
      </c>
    </row>
    <row r="16" spans="1:5" ht="15.75">
      <c r="A16" s="6">
        <v>5</v>
      </c>
      <c r="B16" s="5" t="s">
        <v>21</v>
      </c>
      <c r="C16" s="4">
        <v>3</v>
      </c>
      <c r="D16" s="4">
        <v>1</v>
      </c>
      <c r="E16" s="4">
        <f t="shared" si="1"/>
        <v>4</v>
      </c>
    </row>
    <row r="17" spans="2:5" ht="15.75">
      <c r="B17" s="5" t="s">
        <v>39</v>
      </c>
      <c r="C17" s="4">
        <v>3</v>
      </c>
      <c r="D17" s="4">
        <v>1</v>
      </c>
      <c r="E17" s="4">
        <f t="shared" si="1"/>
        <v>4</v>
      </c>
    </row>
    <row r="18" ht="15.75">
      <c r="C18" s="6"/>
    </row>
    <row r="19" ht="15.75">
      <c r="C19" s="6"/>
    </row>
  </sheetData>
  <sheetProtection/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9.00390625" style="6" bestFit="1" customWidth="1"/>
    <col min="2" max="2" width="27.7109375" style="4" bestFit="1" customWidth="1"/>
    <col min="3" max="3" width="16.00390625" style="7" bestFit="1" customWidth="1"/>
    <col min="4" max="4" width="9.00390625" style="6" bestFit="1" customWidth="1"/>
    <col min="5" max="5" width="16.421875" style="7" bestFit="1" customWidth="1"/>
    <col min="6" max="6" width="9.00390625" style="6" bestFit="1" customWidth="1"/>
    <col min="7" max="7" width="18.140625" style="7" customWidth="1"/>
    <col min="8" max="8" width="9.00390625" style="7" bestFit="1" customWidth="1"/>
    <col min="9" max="9" width="16.140625" style="7" bestFit="1" customWidth="1"/>
    <col min="10" max="10" width="9.00390625" style="6" bestFit="1" customWidth="1"/>
    <col min="11" max="11" width="11.28125" style="6" bestFit="1" customWidth="1"/>
    <col min="12" max="16384" width="9.140625" style="7" customWidth="1"/>
  </cols>
  <sheetData>
    <row r="1" spans="1:10" s="2" customFormat="1" ht="18.75">
      <c r="A1" s="1" t="s">
        <v>164</v>
      </c>
      <c r="D1" s="3"/>
      <c r="F1" s="3"/>
      <c r="H1" s="3"/>
      <c r="I1" s="3"/>
      <c r="J1" s="3"/>
    </row>
    <row r="2" spans="1:12" s="5" customFormat="1" ht="15.75">
      <c r="A2" s="4" t="s">
        <v>5</v>
      </c>
      <c r="B2" s="4" t="s">
        <v>0</v>
      </c>
      <c r="C2" s="4" t="s">
        <v>1</v>
      </c>
      <c r="D2" s="4" t="s">
        <v>8</v>
      </c>
      <c r="E2" s="4" t="s">
        <v>2</v>
      </c>
      <c r="F2" s="4" t="s">
        <v>8</v>
      </c>
      <c r="G2" s="4" t="s">
        <v>3</v>
      </c>
      <c r="H2" s="4" t="s">
        <v>8</v>
      </c>
      <c r="I2" s="4" t="s">
        <v>4</v>
      </c>
      <c r="J2" s="4" t="s">
        <v>8</v>
      </c>
      <c r="K2" s="4" t="s">
        <v>10</v>
      </c>
      <c r="L2" s="4" t="s">
        <v>86</v>
      </c>
    </row>
    <row r="3" spans="1:12" ht="15.75">
      <c r="A3" s="14">
        <v>1</v>
      </c>
      <c r="B3" s="19" t="s">
        <v>103</v>
      </c>
      <c r="C3" s="16" t="s">
        <v>106</v>
      </c>
      <c r="D3" s="17">
        <f>TIME(0,14,16+33)</f>
        <v>0.010289351851851852</v>
      </c>
      <c r="E3" s="16" t="s">
        <v>107</v>
      </c>
      <c r="F3" s="17">
        <f>TIME(0,28,6+33)-D3</f>
        <v>0.00960648148148148</v>
      </c>
      <c r="G3" s="16" t="s">
        <v>104</v>
      </c>
      <c r="H3" s="21">
        <f>TIME(0,44,20+33)-D3-F3</f>
        <v>0.01127314814814815</v>
      </c>
      <c r="I3" s="16" t="s">
        <v>105</v>
      </c>
      <c r="J3" s="17">
        <f>TIME(0,59,18+33)-D3-F3-H3</f>
        <v>0.010393518518518517</v>
      </c>
      <c r="K3" s="17">
        <f>+J3+H3+F3+D3</f>
        <v>0.0415625</v>
      </c>
      <c r="L3" s="6">
        <v>3</v>
      </c>
    </row>
    <row r="4" spans="1:12" ht="15.75">
      <c r="A4" s="14">
        <v>2</v>
      </c>
      <c r="B4" s="19" t="s">
        <v>147</v>
      </c>
      <c r="C4" s="16" t="s">
        <v>80</v>
      </c>
      <c r="D4" s="17">
        <f>TIME(0,13,16+33)</f>
        <v>0.009594907407407408</v>
      </c>
      <c r="E4" s="16" t="s">
        <v>148</v>
      </c>
      <c r="F4" s="17">
        <f>TIME(0,28,28+33)-D4</f>
        <v>0.010555555555555556</v>
      </c>
      <c r="G4" s="16" t="s">
        <v>188</v>
      </c>
      <c r="H4" s="21">
        <f>TIME(0,44,33+33)-D4-F4</f>
        <v>0.011168981481481486</v>
      </c>
      <c r="I4" s="16" t="s">
        <v>81</v>
      </c>
      <c r="J4" s="17">
        <f>TIME(0,59,55+33)-D4-F4-H4</f>
        <v>0.010671296296296299</v>
      </c>
      <c r="K4" s="17">
        <f>+J4+H4+F4+D4</f>
        <v>0.041990740740740745</v>
      </c>
      <c r="L4" s="14">
        <v>2</v>
      </c>
    </row>
    <row r="5" spans="1:12" ht="15.75">
      <c r="A5" s="14">
        <v>3</v>
      </c>
      <c r="B5" s="19" t="s">
        <v>130</v>
      </c>
      <c r="C5" s="16" t="s">
        <v>149</v>
      </c>
      <c r="D5" s="17">
        <f>TIME(0,16,44+33)</f>
        <v>0.012002314814814815</v>
      </c>
      <c r="E5" s="16" t="s">
        <v>200</v>
      </c>
      <c r="F5" s="17">
        <f>TIME(0,33,4+33)-D5</f>
        <v>0.011342592592592593</v>
      </c>
      <c r="G5" s="16" t="s">
        <v>82</v>
      </c>
      <c r="H5" s="21">
        <f>TIME(0,49,28+33)-D5-F5</f>
        <v>0.011388888888888891</v>
      </c>
      <c r="I5" s="16" t="s">
        <v>156</v>
      </c>
      <c r="J5" s="17">
        <f>TIME(1,7,6+33)-D5-F5-H5</f>
        <v>0.012245370370370367</v>
      </c>
      <c r="K5" s="17">
        <f>+J5+H5+F5+D5</f>
        <v>0.04697916666666666</v>
      </c>
      <c r="L5" s="6">
        <v>1</v>
      </c>
    </row>
    <row r="6" spans="1:11" ht="15.75">
      <c r="A6" s="6" t="s">
        <v>9</v>
      </c>
      <c r="B6" s="7"/>
      <c r="H6" s="6"/>
      <c r="K6" s="7"/>
    </row>
    <row r="7" spans="2:13" s="12" customFormat="1" ht="15.75">
      <c r="B7" s="4" t="s">
        <v>131</v>
      </c>
      <c r="C7" s="4" t="s">
        <v>215</v>
      </c>
      <c r="D7" s="4" t="s">
        <v>216</v>
      </c>
      <c r="E7" s="4" t="s">
        <v>161</v>
      </c>
      <c r="M7" s="13"/>
    </row>
    <row r="8" spans="1:11" ht="15.75">
      <c r="A8" s="6" t="s">
        <v>9</v>
      </c>
      <c r="B8" s="7"/>
      <c r="D8" s="7"/>
      <c r="H8" s="6"/>
      <c r="K8" s="7"/>
    </row>
    <row r="9" spans="1:5" ht="15.75">
      <c r="A9" s="6">
        <v>1</v>
      </c>
      <c r="B9" s="11" t="s">
        <v>103</v>
      </c>
      <c r="C9" s="4">
        <v>4</v>
      </c>
      <c r="D9" s="4">
        <v>3</v>
      </c>
      <c r="E9" s="4">
        <f>C9+D9</f>
        <v>7</v>
      </c>
    </row>
    <row r="10" spans="1:5" ht="15.75">
      <c r="A10" s="6">
        <v>2</v>
      </c>
      <c r="B10" s="11" t="s">
        <v>132</v>
      </c>
      <c r="C10" s="4">
        <v>4</v>
      </c>
      <c r="D10" s="4">
        <v>2</v>
      </c>
      <c r="E10" s="4">
        <f>C10+D10</f>
        <v>6</v>
      </c>
    </row>
    <row r="11" spans="1:5" ht="15.75">
      <c r="A11" s="6">
        <v>3</v>
      </c>
      <c r="B11" s="11" t="s">
        <v>130</v>
      </c>
      <c r="C11" s="4">
        <v>3</v>
      </c>
      <c r="D11" s="4">
        <v>1</v>
      </c>
      <c r="E11" s="4">
        <f>C11+D11</f>
        <v>4</v>
      </c>
    </row>
    <row r="12" spans="1:5" ht="15.75">
      <c r="A12" s="6">
        <v>4</v>
      </c>
      <c r="B12" s="11" t="s">
        <v>108</v>
      </c>
      <c r="C12" s="4">
        <v>1</v>
      </c>
      <c r="D12" s="4"/>
      <c r="E12" s="4">
        <f>C12+D12</f>
        <v>1</v>
      </c>
    </row>
    <row r="13" ht="15.75">
      <c r="B13" s="11"/>
    </row>
    <row r="14" ht="15.75">
      <c r="B14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 Burke</dc:creator>
  <cp:keywords/>
  <dc:description/>
  <cp:lastModifiedBy>Butler, Robin</cp:lastModifiedBy>
  <dcterms:created xsi:type="dcterms:W3CDTF">2014-05-07T13:41:56Z</dcterms:created>
  <dcterms:modified xsi:type="dcterms:W3CDTF">2014-06-30T11:59:59Z</dcterms:modified>
  <cp:category/>
  <cp:version/>
  <cp:contentType/>
  <cp:contentStatus/>
</cp:coreProperties>
</file>