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315" windowWidth="20730" windowHeight="6435" activeTab="0"/>
  </bookViews>
  <sheets>
    <sheet name="Senior Men" sheetId="1" r:id="rId1"/>
    <sheet name="Senior Women" sheetId="2" r:id="rId2"/>
    <sheet name="MaleV40" sheetId="3" r:id="rId3"/>
    <sheet name="MaleV50" sheetId="4" r:id="rId4"/>
    <sheet name="Vet Men 60" sheetId="5" r:id="rId5"/>
    <sheet name="LadyV35" sheetId="6" r:id="rId6"/>
    <sheet name="LadyV45" sheetId="7" r:id="rId7"/>
    <sheet name="Juniors" sheetId="8" r:id="rId8"/>
  </sheets>
  <definedNames/>
  <calcPr fullCalcOnLoad="1"/>
</workbook>
</file>

<file path=xl/sharedStrings.xml><?xml version="1.0" encoding="utf-8"?>
<sst xmlns="http://schemas.openxmlformats.org/spreadsheetml/2006/main" count="462" uniqueCount="254">
  <si>
    <t>Club Name</t>
  </si>
  <si>
    <t>Leg1</t>
  </si>
  <si>
    <t>Leg2</t>
  </si>
  <si>
    <t>Leg3</t>
  </si>
  <si>
    <t>Leg4</t>
  </si>
  <si>
    <t>Position</t>
  </si>
  <si>
    <t>South Kent Harriers A</t>
  </si>
  <si>
    <t>Ali Scott</t>
  </si>
  <si>
    <t>Time</t>
  </si>
  <si>
    <t xml:space="preserve"> </t>
  </si>
  <si>
    <t>Total Time</t>
  </si>
  <si>
    <t>Mike Coleman</t>
  </si>
  <si>
    <t>Richard Newsome</t>
  </si>
  <si>
    <t>Sam Rigby</t>
  </si>
  <si>
    <t>Ashford AC A</t>
  </si>
  <si>
    <t>Scott Wiseman</t>
  </si>
  <si>
    <t>Declan Burton</t>
  </si>
  <si>
    <t>Folkestone RC</t>
  </si>
  <si>
    <t>Andy Fletcher</t>
  </si>
  <si>
    <t>Phil Hoyland</t>
  </si>
  <si>
    <t>Dave Gillett</t>
  </si>
  <si>
    <t>Steve O'Brien</t>
  </si>
  <si>
    <t>Canterbury Harriers</t>
  </si>
  <si>
    <t>Tom Millard</t>
  </si>
  <si>
    <t>Tom Purnell</t>
  </si>
  <si>
    <t>Simon Jones</t>
  </si>
  <si>
    <t>Invicta East Kent</t>
  </si>
  <si>
    <t>Ashford &amp; District A</t>
  </si>
  <si>
    <t>Chris Boyce</t>
  </si>
  <si>
    <t>Alan Kirby</t>
  </si>
  <si>
    <t>Dean Bracken</t>
  </si>
  <si>
    <t>Ashford AC B</t>
  </si>
  <si>
    <t>Liam Burke</t>
  </si>
  <si>
    <t>South Kent Harriers B</t>
  </si>
  <si>
    <t>South Kent Harriers C</t>
  </si>
  <si>
    <t>Matt Kendell</t>
  </si>
  <si>
    <t>Canterbury Harriers C</t>
  </si>
  <si>
    <t>Dover Road Runners</t>
  </si>
  <si>
    <t>Warren Uden</t>
  </si>
  <si>
    <t>Arron Blythe</t>
  </si>
  <si>
    <t>Jon Wiles</t>
  </si>
  <si>
    <t>Neil Coleman</t>
  </si>
  <si>
    <t>Ashford AC C</t>
  </si>
  <si>
    <t>Gerard O'Sullivan</t>
  </si>
  <si>
    <t>Ellis Bennett</t>
  </si>
  <si>
    <t>Thanet Road Runners</t>
  </si>
  <si>
    <t>Steve Clarke</t>
  </si>
  <si>
    <t>Ashford &amp; District B</t>
  </si>
  <si>
    <t>Patrick Butler</t>
  </si>
  <si>
    <t>Canterbury Harriers B</t>
  </si>
  <si>
    <t>Barry Hopkins</t>
  </si>
  <si>
    <t>Deal Tri</t>
  </si>
  <si>
    <t>Folkestone RC B</t>
  </si>
  <si>
    <t>Ashford &amp; District</t>
  </si>
  <si>
    <t>Jo Faux</t>
  </si>
  <si>
    <t>Rosie Day</t>
  </si>
  <si>
    <t>Sarah Harmes</t>
  </si>
  <si>
    <t>Becky Williams</t>
  </si>
  <si>
    <t>Folkestone A</t>
  </si>
  <si>
    <t>Louise Fowler</t>
  </si>
  <si>
    <t>Emma Roberts</t>
  </si>
  <si>
    <t>Peter Bowell</t>
  </si>
  <si>
    <t>Robert Whittaker</t>
  </si>
  <si>
    <t>Chris Harvey</t>
  </si>
  <si>
    <t>Robin Butler</t>
  </si>
  <si>
    <t>Scott Lynch</t>
  </si>
  <si>
    <t>John Turbett</t>
  </si>
  <si>
    <t>Gary Husk</t>
  </si>
  <si>
    <t>Annette Nixon</t>
  </si>
  <si>
    <t>Fiona Tester</t>
  </si>
  <si>
    <t>Trudi Curd</t>
  </si>
  <si>
    <t>Sue Cooper</t>
  </si>
  <si>
    <t>Vicky Talbot-Rosner</t>
  </si>
  <si>
    <t>Jo Daniels</t>
  </si>
  <si>
    <t>Claire Thurgate</t>
  </si>
  <si>
    <t>Angela Parker</t>
  </si>
  <si>
    <t>Canterbury Harriers A</t>
  </si>
  <si>
    <t>Alison Ross</t>
  </si>
  <si>
    <t>Folkestone B</t>
  </si>
  <si>
    <t>Kirsty Gardiner</t>
  </si>
  <si>
    <t>Kylie Hassall</t>
  </si>
  <si>
    <t>Jo Melluish</t>
  </si>
  <si>
    <t>Folkestone RC A</t>
  </si>
  <si>
    <t>Debbie Jeffery</t>
  </si>
  <si>
    <t xml:space="preserve">Folkestone RC  </t>
  </si>
  <si>
    <t>Debbie Sykes</t>
  </si>
  <si>
    <t>Margaret Reidy</t>
  </si>
  <si>
    <t>South Kent Harriers</t>
  </si>
  <si>
    <t>Keith Munro</t>
  </si>
  <si>
    <t>Pete Russell</t>
  </si>
  <si>
    <t>Mick James</t>
  </si>
  <si>
    <t>Phil Wyard</t>
  </si>
  <si>
    <t>Kevin Brown</t>
  </si>
  <si>
    <t>Steve Reynolds</t>
  </si>
  <si>
    <t>Brandon Law</t>
  </si>
  <si>
    <t>Levi Atwell</t>
  </si>
  <si>
    <t>Alastair Sanders</t>
  </si>
  <si>
    <t>Maia Daw</t>
  </si>
  <si>
    <t>Steve Clark</t>
  </si>
  <si>
    <t>John Cooper</t>
  </si>
  <si>
    <t>Ashford AC</t>
  </si>
  <si>
    <t>Helen Wheeler</t>
  </si>
  <si>
    <t>Jane Phillips</t>
  </si>
  <si>
    <t>Billy Baker</t>
  </si>
  <si>
    <t>Pts</t>
  </si>
  <si>
    <t>Adam Cowper-Smith</t>
  </si>
  <si>
    <t>Roy Gooderson</t>
  </si>
  <si>
    <t>Clive Allon</t>
  </si>
  <si>
    <t>Tim Warren</t>
  </si>
  <si>
    <t>Aldous Hoskin</t>
  </si>
  <si>
    <t>Barry Hogben</t>
  </si>
  <si>
    <t>Brian Davies</t>
  </si>
  <si>
    <t>Alan Fletcher</t>
  </si>
  <si>
    <t>Grahame Eke</t>
  </si>
  <si>
    <t>Jo Holl</t>
  </si>
  <si>
    <t>Janet Morgan</t>
  </si>
  <si>
    <t>Thanet Road Runners A</t>
  </si>
  <si>
    <t>Karen Daniels</t>
  </si>
  <si>
    <t xml:space="preserve">Thanet Road Runners </t>
  </si>
  <si>
    <t>Jill Cliff</t>
  </si>
  <si>
    <t>Deal Tri A</t>
  </si>
  <si>
    <t>Lorraine Lyons</t>
  </si>
  <si>
    <t>Sam Hudson</t>
  </si>
  <si>
    <t>Invicta East Kent A</t>
  </si>
  <si>
    <t>Invicta East Kent B</t>
  </si>
  <si>
    <t>Richard Hudson</t>
  </si>
  <si>
    <t>Gavin Knight</t>
  </si>
  <si>
    <t>Martin Kelk</t>
  </si>
  <si>
    <t>Steve Burt</t>
  </si>
  <si>
    <t>Stuart Marchant</t>
  </si>
  <si>
    <t>James Scanlon</t>
  </si>
  <si>
    <t>Oli Brown</t>
  </si>
  <si>
    <t>Thomas Fentem</t>
  </si>
  <si>
    <t>Joe Hicks</t>
  </si>
  <si>
    <t>Jeremy Lissamore</t>
  </si>
  <si>
    <t>Thanet Road Runners Boys</t>
  </si>
  <si>
    <t>Henry Swandale</t>
  </si>
  <si>
    <t>Hughie Coleman</t>
  </si>
  <si>
    <t>Alfie Grafton</t>
  </si>
  <si>
    <t>Alex Kavanagh</t>
  </si>
  <si>
    <t>Thanet Road Runners Girls</t>
  </si>
  <si>
    <t>John Hunt</t>
  </si>
  <si>
    <t>Chris Brenchley</t>
  </si>
  <si>
    <t>Stephen Forshaw</t>
  </si>
  <si>
    <t>Peter Heath</t>
  </si>
  <si>
    <t>Michael Philpot</t>
  </si>
  <si>
    <t>Nick McNeill</t>
  </si>
  <si>
    <t>Kevin Williams</t>
  </si>
  <si>
    <t>Gill Pragnell</t>
  </si>
  <si>
    <t>Anna-Lisa Stiffel</t>
  </si>
  <si>
    <t>Dover Road Runners A</t>
  </si>
  <si>
    <t>Tracy Foote</t>
  </si>
  <si>
    <t>Leela Osborne</t>
  </si>
  <si>
    <t>Sylvia Barrett</t>
  </si>
  <si>
    <t>Amanda Jukes</t>
  </si>
  <si>
    <t>James McNeill</t>
  </si>
  <si>
    <t>William Smith</t>
  </si>
  <si>
    <t>Margaret Connolly</t>
  </si>
  <si>
    <t>Graham Fooke</t>
  </si>
  <si>
    <t>Julian Manser</t>
  </si>
  <si>
    <t>C J Latimer</t>
  </si>
  <si>
    <t>Daniel Green</t>
  </si>
  <si>
    <t>Robert Carpenter</t>
  </si>
  <si>
    <t>Folkestone C</t>
  </si>
  <si>
    <t>Angela Saunders</t>
  </si>
  <si>
    <t>Nicky Goodwin</t>
  </si>
  <si>
    <t>Tina Eke</t>
  </si>
  <si>
    <t>Gail Turbutt</t>
  </si>
  <si>
    <t>East Kent Summer Inter Club Relays - Race 2: Minnis Bay#</t>
  </si>
  <si>
    <t>Folkestone Junior Mixed</t>
  </si>
  <si>
    <t>Cumulative Points</t>
  </si>
  <si>
    <t>Folkestone RC Jnr Boys A</t>
  </si>
  <si>
    <t>John Thorpe</t>
  </si>
  <si>
    <t>Jacob Hussey</t>
  </si>
  <si>
    <t>East Kent Summer Inter Club Relays - Race 3: Victoria Park</t>
  </si>
  <si>
    <t>Kirsty Lyon</t>
  </si>
  <si>
    <t>Jenny Phillips</t>
  </si>
  <si>
    <t>Henny Hutchinson</t>
  </si>
  <si>
    <t>Katie McCarter</t>
  </si>
  <si>
    <t>Rachel Grout</t>
  </si>
  <si>
    <t>Ashford &amp; District C</t>
  </si>
  <si>
    <t>Lisa Bracken</t>
  </si>
  <si>
    <t>Helen Weeden</t>
  </si>
  <si>
    <t>Martin King</t>
  </si>
  <si>
    <t>Del Matcham</t>
  </si>
  <si>
    <t>Abbi Brissenden</t>
  </si>
  <si>
    <t>Mike Hayley</t>
  </si>
  <si>
    <t>Canterbury</t>
  </si>
  <si>
    <t>Jane Reeve</t>
  </si>
  <si>
    <t>Julie Bradford</t>
  </si>
  <si>
    <t>Linda Smith</t>
  </si>
  <si>
    <t>Zoe Neal</t>
  </si>
  <si>
    <t>Lynne Page</t>
  </si>
  <si>
    <t>Margaret Witham</t>
  </si>
  <si>
    <t>Robin Harper</t>
  </si>
  <si>
    <t>Mick Brown</t>
  </si>
  <si>
    <t>Phil Brand</t>
  </si>
  <si>
    <t>Mark Mcconnell</t>
  </si>
  <si>
    <t>Dover Road Runners B</t>
  </si>
  <si>
    <t>Andy Carter</t>
  </si>
  <si>
    <t>Matt Britton</t>
  </si>
  <si>
    <t>Peter Le Rossignol</t>
  </si>
  <si>
    <t>Candy Hawkins</t>
  </si>
  <si>
    <t>Georgina Twist</t>
  </si>
  <si>
    <t>Rona Loubser</t>
  </si>
  <si>
    <t>Catherine O'Connor</t>
  </si>
  <si>
    <t>Katriona Watts</t>
  </si>
  <si>
    <t>Leslie Delea</t>
  </si>
  <si>
    <t>Jo Peers</t>
  </si>
  <si>
    <t>Alison Jelly</t>
  </si>
  <si>
    <t>Folkestone Junior A</t>
  </si>
  <si>
    <t>Morgan West</t>
  </si>
  <si>
    <t>Folkestone Junior B</t>
  </si>
  <si>
    <t>Ben Jeffery</t>
  </si>
  <si>
    <t>George Buchanan</t>
  </si>
  <si>
    <t>Leah Atwell</t>
  </si>
  <si>
    <t>Chris Valdus</t>
  </si>
  <si>
    <t>Luke Kadinopoulos</t>
  </si>
  <si>
    <t>Keith Haynes</t>
  </si>
  <si>
    <t>Joe Thomsett</t>
  </si>
  <si>
    <t>Nathan Bradley</t>
  </si>
  <si>
    <t>Neil Armitage</t>
  </si>
  <si>
    <t>Craig Thomas</t>
  </si>
  <si>
    <t>Dave Bowden</t>
  </si>
  <si>
    <t>Bob Davison</t>
  </si>
  <si>
    <t>Mark Wenman</t>
  </si>
  <si>
    <t>Genevieve Case</t>
  </si>
  <si>
    <t>Julia Hermitage</t>
  </si>
  <si>
    <t>Sam Brown</t>
  </si>
  <si>
    <t>Pauline Petitt</t>
  </si>
  <si>
    <t>Kevin Newman</t>
  </si>
  <si>
    <t>Dean Shrubsole</t>
  </si>
  <si>
    <t>Folkestone RC C</t>
  </si>
  <si>
    <t>Geoff Kailes</t>
  </si>
  <si>
    <t>James Long</t>
  </si>
  <si>
    <t>Stephen King</t>
  </si>
  <si>
    <t>Pete Rider</t>
  </si>
  <si>
    <t>Andy Richardson</t>
  </si>
  <si>
    <t>Steve Johns</t>
  </si>
  <si>
    <t>Jan De Keyser</t>
  </si>
  <si>
    <t>Lucy Clarke</t>
  </si>
  <si>
    <t>Yvonne Elliott</t>
  </si>
  <si>
    <t>Clare Wiseman</t>
  </si>
  <si>
    <t>Ben McGee</t>
  </si>
  <si>
    <t>Dave Fowler</t>
  </si>
  <si>
    <t>Peter Lodge</t>
  </si>
  <si>
    <t>Dave Martin</t>
  </si>
  <si>
    <t>Colin Archer</t>
  </si>
  <si>
    <t>Jaz Dall*</t>
  </si>
  <si>
    <t>Michael Gallyer -Barnett</t>
  </si>
  <si>
    <t>To Minnis Bay</t>
  </si>
  <si>
    <t>Ashford</t>
  </si>
  <si>
    <t>Cumulative</t>
  </si>
  <si>
    <t>Dover Road Runners  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</si>
</sst>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 horizontal="center"/>
    </xf>
    <xf numFmtId="21" fontId="4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164" fontId="21" fillId="33" borderId="10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8.57421875" style="6" customWidth="1"/>
    <col min="2" max="2" width="24.421875" style="7" bestFit="1" customWidth="1"/>
    <col min="3" max="3" width="21.57421875" style="7" bestFit="1" customWidth="1"/>
    <col min="4" max="4" width="9.00390625" style="6" bestFit="1" customWidth="1"/>
    <col min="5" max="5" width="23.57421875" style="7" bestFit="1" customWidth="1"/>
    <col min="6" max="6" width="9.00390625" style="6" bestFit="1" customWidth="1"/>
    <col min="7" max="7" width="21.57421875" style="7" bestFit="1" customWidth="1"/>
    <col min="8" max="8" width="9.00390625" style="6" bestFit="1" customWidth="1"/>
    <col min="9" max="9" width="23.28125" style="7" customWidth="1"/>
    <col min="10" max="10" width="9.00390625" style="6" bestFit="1" customWidth="1"/>
    <col min="11" max="11" width="11.28125" style="6" bestFit="1" customWidth="1"/>
    <col min="12" max="12" width="5.8515625" style="6" customWidth="1"/>
    <col min="13" max="13" width="11.28125" style="10" customWidth="1"/>
    <col min="14" max="14" width="9.57421875" style="6" customWidth="1"/>
    <col min="15" max="15" width="12.8515625" style="7" customWidth="1"/>
    <col min="16" max="16384" width="9.140625" style="7" customWidth="1"/>
  </cols>
  <sheetData>
    <row r="1" spans="1:14" s="2" customFormat="1" ht="18.75">
      <c r="A1" s="1" t="s">
        <v>174</v>
      </c>
      <c r="D1" s="3"/>
      <c r="F1" s="3"/>
      <c r="H1" s="3"/>
      <c r="I1" s="3"/>
      <c r="J1" s="3"/>
      <c r="L1" s="3"/>
      <c r="M1" s="3"/>
      <c r="N1" s="3"/>
    </row>
    <row r="2" spans="1:14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4</v>
      </c>
      <c r="J2" s="4" t="s">
        <v>8</v>
      </c>
      <c r="K2" s="4" t="s">
        <v>10</v>
      </c>
      <c r="L2" s="4" t="s">
        <v>104</v>
      </c>
      <c r="M2" s="4"/>
      <c r="N2" s="4"/>
    </row>
    <row r="3" spans="1:12" ht="15.75">
      <c r="A3" s="6">
        <v>1</v>
      </c>
      <c r="B3" s="5" t="s">
        <v>6</v>
      </c>
      <c r="C3" s="7" t="s">
        <v>7</v>
      </c>
      <c r="D3" s="8">
        <f>TIME(0,16,21)</f>
        <v>0.011354166666666667</v>
      </c>
      <c r="E3" s="7" t="s">
        <v>13</v>
      </c>
      <c r="F3" s="8">
        <f>TIME(0,32,3)-D3</f>
        <v>0.010902777777777773</v>
      </c>
      <c r="G3" s="7" t="s">
        <v>12</v>
      </c>
      <c r="H3" s="8">
        <f>TIME(0,47,47)-D3-F3</f>
        <v>0.010925925925925931</v>
      </c>
      <c r="I3" s="7" t="s">
        <v>11</v>
      </c>
      <c r="J3" s="8">
        <f>TIME(1,3,14)-D3-F3-H3</f>
        <v>0.010729166666666663</v>
      </c>
      <c r="K3" s="9">
        <f aca="true" t="shared" si="0" ref="K3:K19">+J3+H3+F3+D3</f>
        <v>0.043912037037037034</v>
      </c>
      <c r="L3" s="6">
        <v>9</v>
      </c>
    </row>
    <row r="4" spans="1:12" ht="15.75">
      <c r="A4" s="6">
        <v>2</v>
      </c>
      <c r="B4" s="5" t="s">
        <v>82</v>
      </c>
      <c r="C4" s="7" t="s">
        <v>20</v>
      </c>
      <c r="D4" s="8">
        <f>TIME(0,16,13)</f>
        <v>0.011261574074074071</v>
      </c>
      <c r="E4" s="7" t="s">
        <v>18</v>
      </c>
      <c r="F4" s="8">
        <f>TIME(0,32,9)-D4</f>
        <v>0.011064814814814814</v>
      </c>
      <c r="G4" s="7" t="s">
        <v>19</v>
      </c>
      <c r="H4" s="8">
        <f>TIME(0,49,3)-D4-F4</f>
        <v>0.011736111111111119</v>
      </c>
      <c r="I4" s="7" t="s">
        <v>21</v>
      </c>
      <c r="J4" s="8">
        <f>TIME(1,5,30)-D4-F4-H4</f>
        <v>0.011423611111111108</v>
      </c>
      <c r="K4" s="9">
        <f t="shared" si="0"/>
        <v>0.04548611111111111</v>
      </c>
      <c r="L4" s="6">
        <v>8</v>
      </c>
    </row>
    <row r="5" spans="1:12" ht="15.75">
      <c r="A5" s="6">
        <v>3</v>
      </c>
      <c r="B5" s="5" t="s">
        <v>14</v>
      </c>
      <c r="C5" s="7" t="s">
        <v>146</v>
      </c>
      <c r="D5" s="8">
        <f>TIME(0,17,2)</f>
        <v>0.011828703703703704</v>
      </c>
      <c r="E5" s="7" t="s">
        <v>16</v>
      </c>
      <c r="F5" s="8">
        <f>TIME(0,32,48)-D5</f>
        <v>0.010949074074074071</v>
      </c>
      <c r="G5" s="7" t="s">
        <v>200</v>
      </c>
      <c r="H5" s="8">
        <f>TIME(0,49,32)-D5-F5</f>
        <v>0.01162037037037037</v>
      </c>
      <c r="I5" s="7" t="s">
        <v>15</v>
      </c>
      <c r="J5" s="8">
        <f>TIME(1,5,55)-D5-F5-H5</f>
        <v>0.011377314814814828</v>
      </c>
      <c r="K5" s="9">
        <f t="shared" si="0"/>
        <v>0.04577546296296297</v>
      </c>
      <c r="L5" s="6">
        <v>7</v>
      </c>
    </row>
    <row r="6" spans="1:12" ht="15.75">
      <c r="A6" s="6">
        <v>4</v>
      </c>
      <c r="B6" s="5" t="s">
        <v>76</v>
      </c>
      <c r="C6" s="7" t="s">
        <v>25</v>
      </c>
      <c r="D6" s="8">
        <f>TIME(0,16,7)</f>
        <v>0.01119212962962963</v>
      </c>
      <c r="E6" s="7" t="s">
        <v>219</v>
      </c>
      <c r="F6" s="8">
        <f>TIME(0,33,1)-D6</f>
        <v>0.011736111111111109</v>
      </c>
      <c r="G6" s="7" t="s">
        <v>24</v>
      </c>
      <c r="H6" s="8">
        <f>TIME(0,49,55)-D6-F6</f>
        <v>0.011736111111111112</v>
      </c>
      <c r="I6" s="7" t="s">
        <v>23</v>
      </c>
      <c r="J6" s="8">
        <f>TIME(1,6,32)-D6-F6-H6</f>
        <v>0.011539351851851851</v>
      </c>
      <c r="K6" s="9">
        <f t="shared" si="0"/>
        <v>0.0462037037037037</v>
      </c>
      <c r="L6" s="6">
        <v>6</v>
      </c>
    </row>
    <row r="7" spans="1:12" ht="15.75">
      <c r="A7" s="6">
        <v>5</v>
      </c>
      <c r="B7" s="5" t="s">
        <v>33</v>
      </c>
      <c r="C7" s="7" t="s">
        <v>35</v>
      </c>
      <c r="D7" s="8">
        <f>TIME(0,16,0)</f>
        <v>0.011111111111111112</v>
      </c>
      <c r="E7" s="7" t="s">
        <v>155</v>
      </c>
      <c r="F7" s="8">
        <f>TIME(0,33,7)-D7</f>
        <v>0.011886574074074075</v>
      </c>
      <c r="G7" s="7" t="s">
        <v>156</v>
      </c>
      <c r="H7" s="8">
        <f>TIME(0,50,31)-D7-F7</f>
        <v>0.01208333333333333</v>
      </c>
      <c r="I7" s="7" t="s">
        <v>183</v>
      </c>
      <c r="J7" s="8">
        <f>TIME(1,8,22)-D7-F7-H7</f>
        <v>0.012395833333333333</v>
      </c>
      <c r="K7" s="9">
        <f t="shared" si="0"/>
        <v>0.04747685185185185</v>
      </c>
      <c r="L7" s="6" t="s">
        <v>9</v>
      </c>
    </row>
    <row r="8" spans="1:12" ht="15.75">
      <c r="A8" s="6">
        <v>6</v>
      </c>
      <c r="B8" s="5" t="s">
        <v>198</v>
      </c>
      <c r="C8" s="7" t="s">
        <v>41</v>
      </c>
      <c r="D8" s="8">
        <f>TIME(0,19,30)</f>
        <v>0.013541666666666667</v>
      </c>
      <c r="E8" s="7" t="s">
        <v>9</v>
      </c>
      <c r="F8" s="8">
        <f>TIME(0,31,9)-D8</f>
        <v>0.008090277777777776</v>
      </c>
      <c r="G8" s="7" t="s">
        <v>172</v>
      </c>
      <c r="H8" s="8">
        <f>TIME(0,50,39)-D8-F8</f>
        <v>0.013541666666666664</v>
      </c>
      <c r="I8" s="7" t="s">
        <v>38</v>
      </c>
      <c r="J8" s="8">
        <f>TIME(1,9,10)-D8-F8-H8</f>
        <v>0.012858796296296299</v>
      </c>
      <c r="K8" s="9">
        <f t="shared" si="0"/>
        <v>0.048032407407407406</v>
      </c>
      <c r="L8" s="6" t="s">
        <v>9</v>
      </c>
    </row>
    <row r="9" spans="1:12" ht="15.75">
      <c r="A9" s="6">
        <v>7</v>
      </c>
      <c r="B9" s="5" t="s">
        <v>27</v>
      </c>
      <c r="C9" s="7" t="s">
        <v>216</v>
      </c>
      <c r="D9" s="8">
        <f>TIME(0,16,26)</f>
        <v>0.011412037037037038</v>
      </c>
      <c r="E9" s="7" t="s">
        <v>160</v>
      </c>
      <c r="F9" s="8">
        <f>TIME(0,34,34)-D9</f>
        <v>0.012592592592592591</v>
      </c>
      <c r="G9" s="7" t="s">
        <v>29</v>
      </c>
      <c r="H9" s="8">
        <f>TIME(0,53,40)-D9-F9</f>
        <v>0.013263888888888882</v>
      </c>
      <c r="I9" s="7" t="s">
        <v>28</v>
      </c>
      <c r="J9" s="8">
        <f>TIME(1,11,43)-D9-F9-H9</f>
        <v>0.012534722222222223</v>
      </c>
      <c r="K9" s="9">
        <f t="shared" si="0"/>
        <v>0.04980324074074074</v>
      </c>
      <c r="L9" s="6">
        <v>5</v>
      </c>
    </row>
    <row r="10" spans="1:12" ht="15.75">
      <c r="A10" s="6">
        <v>8</v>
      </c>
      <c r="B10" s="5" t="s">
        <v>52</v>
      </c>
      <c r="C10" s="7" t="s">
        <v>230</v>
      </c>
      <c r="D10" s="8">
        <f>TIME(0,16,46)</f>
        <v>0.011643518518518518</v>
      </c>
      <c r="E10" s="7" t="s">
        <v>108</v>
      </c>
      <c r="F10" s="8">
        <f>TIME(0,34,51)-D10</f>
        <v>0.012557870370370369</v>
      </c>
      <c r="G10" s="7" t="s">
        <v>231</v>
      </c>
      <c r="H10" s="8">
        <f>TIME(0,54,52)-D10-F10</f>
        <v>0.013900462962962965</v>
      </c>
      <c r="I10" s="7" t="s">
        <v>109</v>
      </c>
      <c r="J10" s="8">
        <f>TIME(1,14,38)-D10-F10-H10</f>
        <v>0.013726851851851851</v>
      </c>
      <c r="K10" s="9">
        <f t="shared" si="0"/>
        <v>0.0518287037037037</v>
      </c>
      <c r="L10" s="6" t="s">
        <v>9</v>
      </c>
    </row>
    <row r="11" spans="1:12" ht="15.75">
      <c r="A11" s="6">
        <v>9</v>
      </c>
      <c r="B11" s="5" t="s">
        <v>31</v>
      </c>
      <c r="C11" s="7" t="s">
        <v>44</v>
      </c>
      <c r="D11" s="8">
        <f>TIME(0,19,7)</f>
        <v>0.013275462962962963</v>
      </c>
      <c r="E11" s="7" t="s">
        <v>201</v>
      </c>
      <c r="F11" s="8">
        <f>TIME(0,39,19)-D11</f>
        <v>0.01402777777777778</v>
      </c>
      <c r="G11" s="7" t="s">
        <v>32</v>
      </c>
      <c r="H11" s="8">
        <f>TIME(0,57,52)-D11-F11</f>
        <v>0.012881944444444444</v>
      </c>
      <c r="I11" s="7" t="s">
        <v>147</v>
      </c>
      <c r="J11" s="8">
        <f>TIME(1,15,13)-D11-F11-H11</f>
        <v>0.012048611111111116</v>
      </c>
      <c r="K11" s="9">
        <f t="shared" si="0"/>
        <v>0.0522337962962963</v>
      </c>
      <c r="L11" s="6" t="s">
        <v>9</v>
      </c>
    </row>
    <row r="12" spans="1:12" ht="15.75">
      <c r="A12" s="6">
        <v>10</v>
      </c>
      <c r="B12" s="5" t="s">
        <v>120</v>
      </c>
      <c r="C12" s="7" t="s">
        <v>243</v>
      </c>
      <c r="D12" s="8">
        <f>TIME(0,16,48)</f>
        <v>0.011666666666666667</v>
      </c>
      <c r="E12" s="7" t="s">
        <v>244</v>
      </c>
      <c r="F12" s="8">
        <f>TIME(0,34,15)-D12</f>
        <v>0.012118055555555554</v>
      </c>
      <c r="G12" s="7" t="s">
        <v>245</v>
      </c>
      <c r="H12" s="8">
        <f>TIME(0,56,24)-D12-F12</f>
        <v>0.015381944444444443</v>
      </c>
      <c r="I12" s="7" t="s">
        <v>248</v>
      </c>
      <c r="J12" s="8">
        <f>TIME(1,15,19)-D12-F12-H12</f>
        <v>0.013136574074074077</v>
      </c>
      <c r="K12" s="9">
        <f t="shared" si="0"/>
        <v>0.05230324074074074</v>
      </c>
      <c r="L12" s="6">
        <v>4</v>
      </c>
    </row>
    <row r="13" spans="1:12" ht="15.75">
      <c r="A13" s="6">
        <v>11</v>
      </c>
      <c r="B13" s="5" t="s">
        <v>37</v>
      </c>
      <c r="C13" s="7" t="s">
        <v>38</v>
      </c>
      <c r="D13" s="8">
        <f>TIME(0,17,21)</f>
        <v>0.012048611111111112</v>
      </c>
      <c r="E13" s="7" t="s">
        <v>39</v>
      </c>
      <c r="F13" s="8">
        <f>TIME(0,37,41)-D13</f>
        <v>0.014120370370370365</v>
      </c>
      <c r="G13" s="7" t="s">
        <v>194</v>
      </c>
      <c r="H13" s="8">
        <f>TIME(0,56,1)-D13-F13</f>
        <v>0.012731481481481484</v>
      </c>
      <c r="I13" s="7" t="s">
        <v>40</v>
      </c>
      <c r="J13" s="8">
        <f>TIME(1,15,33)-D13-F13-H13</f>
        <v>0.01356481481481482</v>
      </c>
      <c r="K13" s="9">
        <f t="shared" si="0"/>
        <v>0.052465277777777784</v>
      </c>
      <c r="L13" s="6">
        <v>3</v>
      </c>
    </row>
    <row r="14" spans="1:12" ht="16.5" customHeight="1">
      <c r="A14" s="6">
        <v>12</v>
      </c>
      <c r="B14" s="5" t="s">
        <v>49</v>
      </c>
      <c r="C14" s="7" t="s">
        <v>50</v>
      </c>
      <c r="D14" s="8">
        <f>TIME(0,18,13)</f>
        <v>0.012650462962962962</v>
      </c>
      <c r="E14" s="7" t="s">
        <v>130</v>
      </c>
      <c r="F14" s="8">
        <f>TIME(0,36,57)-D14</f>
        <v>0.01300925925925926</v>
      </c>
      <c r="G14" s="7" t="s">
        <v>129</v>
      </c>
      <c r="H14" s="8">
        <f>TIME(0,55,13)-D14-F14</f>
        <v>0.01268518518518519</v>
      </c>
      <c r="I14" s="7" t="s">
        <v>220</v>
      </c>
      <c r="J14" s="8">
        <f>TIME(1,16,1)-D14-F14-H14</f>
        <v>0.014444444444444439</v>
      </c>
      <c r="K14" s="9">
        <f t="shared" si="0"/>
        <v>0.05278935185185185</v>
      </c>
      <c r="L14" s="6" t="s">
        <v>9</v>
      </c>
    </row>
    <row r="15" spans="1:12" ht="15.75">
      <c r="A15" s="6">
        <v>13</v>
      </c>
      <c r="B15" s="5" t="s">
        <v>116</v>
      </c>
      <c r="C15" s="7" t="s">
        <v>141</v>
      </c>
      <c r="D15" s="8">
        <f>TIME(0,18,10)</f>
        <v>0.012615740740740742</v>
      </c>
      <c r="E15" s="7" t="s">
        <v>199</v>
      </c>
      <c r="F15" s="8">
        <f>TIME(0,37,52)-D15</f>
        <v>0.013680555555555552</v>
      </c>
      <c r="G15" s="7" t="s">
        <v>142</v>
      </c>
      <c r="H15" s="8">
        <f>TIME(0,56,5)-D15-F15</f>
        <v>0.012650462962962966</v>
      </c>
      <c r="I15" s="7" t="s">
        <v>143</v>
      </c>
      <c r="J15" s="8">
        <f>TIME(1,16,6)-D15-F15-H15</f>
        <v>0.013900462962962963</v>
      </c>
      <c r="K15" s="9">
        <f t="shared" si="0"/>
        <v>0.05284722222222222</v>
      </c>
      <c r="L15" s="6">
        <v>2</v>
      </c>
    </row>
    <row r="16" spans="1:11" ht="15.75">
      <c r="A16" s="6">
        <v>14</v>
      </c>
      <c r="B16" s="5" t="s">
        <v>47</v>
      </c>
      <c r="C16" s="7" t="s">
        <v>218</v>
      </c>
      <c r="D16" s="8">
        <f>TIME(0,19,25)</f>
        <v>0.013483796296296298</v>
      </c>
      <c r="E16" s="7" t="s">
        <v>217</v>
      </c>
      <c r="F16" s="8">
        <f>TIME(0,40,19)-D16</f>
        <v>0.014513888888888887</v>
      </c>
      <c r="G16" s="7" t="s">
        <v>30</v>
      </c>
      <c r="H16" s="8">
        <f>TIME(0,59,14)-D16-F16</f>
        <v>0.013136574074074073</v>
      </c>
      <c r="I16" s="7" t="s">
        <v>48</v>
      </c>
      <c r="J16" s="8">
        <f>TIME(1,17,52)-D16-F16-H16</f>
        <v>0.012939814814814812</v>
      </c>
      <c r="K16" s="9">
        <f t="shared" si="0"/>
        <v>0.05407407407407407</v>
      </c>
    </row>
    <row r="17" spans="1:12" ht="15.75">
      <c r="A17" s="6">
        <v>15</v>
      </c>
      <c r="B17" s="5" t="s">
        <v>123</v>
      </c>
      <c r="C17" s="7" t="s">
        <v>122</v>
      </c>
      <c r="D17" s="8">
        <f>TIME(0,16,43)</f>
        <v>0.011608796296296296</v>
      </c>
      <c r="E17" s="7" t="s">
        <v>63</v>
      </c>
      <c r="F17" s="8">
        <f>TIME(0,34,33)-D17</f>
        <v>0.01238425925925926</v>
      </c>
      <c r="G17" s="7" t="s">
        <v>125</v>
      </c>
      <c r="H17" s="8">
        <f>TIME(0,57,58)-D17-F17</f>
        <v>0.016261574074074074</v>
      </c>
      <c r="I17" s="7" t="s">
        <v>249</v>
      </c>
      <c r="J17" s="8">
        <f>TIME(1,17,56)-D17-F17-H17</f>
        <v>0.013865740740740741</v>
      </c>
      <c r="K17" s="9">
        <f t="shared" si="0"/>
        <v>0.054120370370370374</v>
      </c>
      <c r="L17" s="6">
        <v>1</v>
      </c>
    </row>
    <row r="18" spans="1:11" ht="15.75">
      <c r="A18" s="6">
        <v>16</v>
      </c>
      <c r="B18" s="5" t="s">
        <v>36</v>
      </c>
      <c r="C18" s="7" t="s">
        <v>132</v>
      </c>
      <c r="D18" s="8">
        <f>TIME(0,19,49)</f>
        <v>0.013761574074074074</v>
      </c>
      <c r="E18" s="7" t="s">
        <v>131</v>
      </c>
      <c r="F18" s="8">
        <f>TIME(0,39,13)-D18</f>
        <v>0.013472222222222224</v>
      </c>
      <c r="G18" s="7" t="s">
        <v>133</v>
      </c>
      <c r="H18" s="8">
        <f>TIME(1,4,52)-D18-F18</f>
        <v>0.017812500000000002</v>
      </c>
      <c r="I18" s="7" t="s">
        <v>173</v>
      </c>
      <c r="J18" s="8">
        <f>TIME(1,24,3)-D18-F18-H18</f>
        <v>0.013321759259259255</v>
      </c>
      <c r="K18" s="9">
        <f t="shared" si="0"/>
        <v>0.058368055555555555</v>
      </c>
    </row>
    <row r="19" spans="1:11" ht="15.75">
      <c r="A19" s="6">
        <v>17</v>
      </c>
      <c r="B19" s="5" t="s">
        <v>232</v>
      </c>
      <c r="C19" s="7" t="s">
        <v>233</v>
      </c>
      <c r="D19" s="8">
        <f>TIME(0,20,28)</f>
        <v>0.014212962962962962</v>
      </c>
      <c r="E19" s="7" t="s">
        <v>234</v>
      </c>
      <c r="F19" s="8">
        <f>TIME(0,43,18)-D19</f>
        <v>0.01585648148148148</v>
      </c>
      <c r="G19" s="7" t="s">
        <v>235</v>
      </c>
      <c r="H19" s="8">
        <f>TIME(1,4,31)-D19-F19</f>
        <v>0.0147337962962963</v>
      </c>
      <c r="I19" s="7" t="s">
        <v>110</v>
      </c>
      <c r="J19" s="8">
        <f>TIME(1,24,48)-D19-F19-H19</f>
        <v>0.014085648148148146</v>
      </c>
      <c r="K19" s="9">
        <f t="shared" si="0"/>
        <v>0.058888888888888886</v>
      </c>
    </row>
    <row r="20" spans="1:11" ht="15.75">
      <c r="A20" s="6">
        <v>18</v>
      </c>
      <c r="B20" s="5" t="s">
        <v>42</v>
      </c>
      <c r="C20" s="7" t="s">
        <v>43</v>
      </c>
      <c r="D20" s="8">
        <f>TIME(0,17,40)</f>
        <v>0.012268518518518519</v>
      </c>
      <c r="E20" s="7" t="s">
        <v>9</v>
      </c>
      <c r="F20" s="8" t="s">
        <v>9</v>
      </c>
      <c r="G20" s="7" t="s">
        <v>9</v>
      </c>
      <c r="H20" s="8" t="s">
        <v>9</v>
      </c>
      <c r="I20" s="7" t="s">
        <v>9</v>
      </c>
      <c r="J20" s="8" t="s">
        <v>9</v>
      </c>
      <c r="K20" s="9" t="s">
        <v>9</v>
      </c>
    </row>
    <row r="21" spans="2:11" ht="15.75">
      <c r="B21" s="5" t="s">
        <v>34</v>
      </c>
      <c r="C21" s="7" t="s">
        <v>184</v>
      </c>
      <c r="D21" s="8">
        <f>TIME(0,17,9)</f>
        <v>0.011909722222222223</v>
      </c>
      <c r="E21" s="7" t="s">
        <v>9</v>
      </c>
      <c r="F21" s="8" t="s">
        <v>9</v>
      </c>
      <c r="G21" s="7" t="s">
        <v>9</v>
      </c>
      <c r="H21" s="8" t="s">
        <v>9</v>
      </c>
      <c r="I21" s="7" t="s">
        <v>9</v>
      </c>
      <c r="J21" s="8" t="s">
        <v>9</v>
      </c>
      <c r="K21" s="9" t="s">
        <v>9</v>
      </c>
    </row>
    <row r="22" spans="2:11" ht="15.75">
      <c r="B22" s="5" t="s">
        <v>124</v>
      </c>
      <c r="C22" s="7" t="s">
        <v>126</v>
      </c>
      <c r="D22" s="8"/>
      <c r="F22" s="8"/>
      <c r="H22" s="8"/>
      <c r="J22" s="8"/>
      <c r="K22" s="9"/>
    </row>
    <row r="23" spans="2:11" ht="15.75">
      <c r="B23" s="5"/>
      <c r="D23" s="8"/>
      <c r="F23" s="8"/>
      <c r="H23" s="8"/>
      <c r="J23" s="8"/>
      <c r="K23" s="9"/>
    </row>
    <row r="24" spans="2:13" s="14" customFormat="1" ht="15.75">
      <c r="B24" s="4" t="s">
        <v>170</v>
      </c>
      <c r="C24" s="4" t="s">
        <v>250</v>
      </c>
      <c r="D24" s="4" t="s">
        <v>251</v>
      </c>
      <c r="E24" s="4" t="s">
        <v>252</v>
      </c>
      <c r="M24" s="15"/>
    </row>
    <row r="25" ht="15.75">
      <c r="A25" s="6" t="s">
        <v>9</v>
      </c>
    </row>
    <row r="26" spans="1:5" ht="15.75">
      <c r="A26" s="6">
        <v>1</v>
      </c>
      <c r="B26" s="5" t="s">
        <v>6</v>
      </c>
      <c r="C26" s="4">
        <v>17</v>
      </c>
      <c r="D26" s="4">
        <v>9</v>
      </c>
      <c r="E26" s="4">
        <f aca="true" t="shared" si="1" ref="E26:E34">D26+C26</f>
        <v>26</v>
      </c>
    </row>
    <row r="27" spans="1:5" ht="15.75">
      <c r="A27" s="6">
        <v>2</v>
      </c>
      <c r="B27" s="5" t="s">
        <v>17</v>
      </c>
      <c r="C27" s="4">
        <v>14</v>
      </c>
      <c r="D27" s="4">
        <v>8</v>
      </c>
      <c r="E27" s="4">
        <f t="shared" si="1"/>
        <v>22</v>
      </c>
    </row>
    <row r="28" spans="1:5" ht="15.75">
      <c r="A28" s="6">
        <v>3</v>
      </c>
      <c r="B28" s="5" t="s">
        <v>14</v>
      </c>
      <c r="C28" s="4">
        <v>14</v>
      </c>
      <c r="D28" s="4">
        <v>7</v>
      </c>
      <c r="E28" s="4">
        <f t="shared" si="1"/>
        <v>21</v>
      </c>
    </row>
    <row r="29" spans="1:5" ht="15.75">
      <c r="A29" s="6">
        <v>4</v>
      </c>
      <c r="B29" s="5" t="s">
        <v>76</v>
      </c>
      <c r="C29" s="4">
        <v>11</v>
      </c>
      <c r="D29" s="4">
        <v>6</v>
      </c>
      <c r="E29" s="4">
        <f t="shared" si="1"/>
        <v>17</v>
      </c>
    </row>
    <row r="30" spans="1:5" ht="15.75">
      <c r="A30" s="6">
        <v>5</v>
      </c>
      <c r="B30" s="5" t="s">
        <v>123</v>
      </c>
      <c r="C30" s="4">
        <v>14</v>
      </c>
      <c r="D30" s="4">
        <v>1</v>
      </c>
      <c r="E30" s="4">
        <f t="shared" si="1"/>
        <v>15</v>
      </c>
    </row>
    <row r="31" spans="1:5" ht="15.75">
      <c r="A31" s="6">
        <v>6</v>
      </c>
      <c r="B31" s="5" t="s">
        <v>27</v>
      </c>
      <c r="C31" s="4">
        <v>7</v>
      </c>
      <c r="D31" s="4">
        <v>5</v>
      </c>
      <c r="E31" s="4">
        <f t="shared" si="1"/>
        <v>12</v>
      </c>
    </row>
    <row r="32" spans="1:5" ht="15.75">
      <c r="A32" s="6">
        <v>7</v>
      </c>
      <c r="B32" s="5" t="s">
        <v>116</v>
      </c>
      <c r="C32" s="4">
        <v>6</v>
      </c>
      <c r="D32" s="4">
        <v>2</v>
      </c>
      <c r="E32" s="4">
        <f t="shared" si="1"/>
        <v>8</v>
      </c>
    </row>
    <row r="33" spans="1:5" ht="15.75">
      <c r="A33" s="6">
        <v>8</v>
      </c>
      <c r="B33" s="5" t="s">
        <v>37</v>
      </c>
      <c r="C33" s="4">
        <v>4</v>
      </c>
      <c r="D33" s="4">
        <v>3</v>
      </c>
      <c r="E33" s="4">
        <f t="shared" si="1"/>
        <v>7</v>
      </c>
    </row>
    <row r="34" spans="2:5" ht="15.75">
      <c r="B34" s="5" t="s">
        <v>120</v>
      </c>
      <c r="C34" s="4">
        <v>3</v>
      </c>
      <c r="D34" s="4">
        <v>4</v>
      </c>
      <c r="E34" s="4">
        <f t="shared" si="1"/>
        <v>7</v>
      </c>
    </row>
    <row r="35" spans="2:3" ht="15.75">
      <c r="B35" s="5"/>
      <c r="C35" s="6"/>
    </row>
    <row r="36" spans="2:3" ht="15.75">
      <c r="B36" s="5"/>
      <c r="C36" s="6"/>
    </row>
    <row r="37" spans="2:3" ht="15.75">
      <c r="B37" s="5"/>
      <c r="C37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.00390625" style="6" bestFit="1" customWidth="1"/>
    <col min="2" max="2" width="24.140625" style="5" customWidth="1"/>
    <col min="3" max="3" width="16.8515625" style="7" customWidth="1"/>
    <col min="4" max="4" width="9.00390625" style="6" bestFit="1" customWidth="1"/>
    <col min="5" max="5" width="25.57421875" style="7" customWidth="1"/>
    <col min="6" max="6" width="9.00390625" style="6" bestFit="1" customWidth="1"/>
    <col min="7" max="7" width="18.140625" style="7" bestFit="1" customWidth="1"/>
    <col min="8" max="8" width="10.7109375" style="6" customWidth="1"/>
    <col min="9" max="9" width="11.28125" style="6" bestFit="1" customWidth="1"/>
    <col min="10" max="10" width="5.8515625" style="6" customWidth="1"/>
    <col min="11" max="11" width="11.28125" style="10" customWidth="1"/>
    <col min="12" max="12" width="9.57421875" style="6" customWidth="1"/>
    <col min="13" max="16384" width="9.140625" style="7" customWidth="1"/>
  </cols>
  <sheetData>
    <row r="1" spans="1:12" s="2" customFormat="1" ht="18.75">
      <c r="A1" s="1" t="s">
        <v>174</v>
      </c>
      <c r="D1" s="3"/>
      <c r="F1" s="3"/>
      <c r="H1" s="3"/>
      <c r="I1" s="3"/>
      <c r="J1" s="3"/>
      <c r="K1" s="3"/>
      <c r="L1" s="3"/>
    </row>
    <row r="2" spans="1:12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104</v>
      </c>
      <c r="K2" s="4"/>
      <c r="L2" s="4"/>
    </row>
    <row r="3" spans="1:11" ht="15.75">
      <c r="A3" s="6">
        <v>1</v>
      </c>
      <c r="B3" s="5" t="s">
        <v>58</v>
      </c>
      <c r="C3" s="7" t="s">
        <v>204</v>
      </c>
      <c r="D3" s="8">
        <f>TIME(0,17,39)</f>
        <v>0.012256944444444444</v>
      </c>
      <c r="E3" s="7" t="s">
        <v>80</v>
      </c>
      <c r="F3" s="8">
        <f>TIME(0,36,45)-D3</f>
        <v>0.013263888888888893</v>
      </c>
      <c r="G3" s="7" t="s">
        <v>79</v>
      </c>
      <c r="H3" s="8">
        <f>TIME(0,59,25)-D3-F3</f>
        <v>0.01574074074074073</v>
      </c>
      <c r="I3" s="9">
        <f aca="true" t="shared" si="0" ref="I3:I12">+H3+F3+D3</f>
        <v>0.04126157407407407</v>
      </c>
      <c r="J3" s="6">
        <v>6</v>
      </c>
      <c r="K3" s="6"/>
    </row>
    <row r="4" spans="1:11" ht="15.75">
      <c r="A4" s="6">
        <v>2</v>
      </c>
      <c r="B4" s="5" t="s">
        <v>100</v>
      </c>
      <c r="C4" s="7" t="s">
        <v>154</v>
      </c>
      <c r="D4" s="8">
        <f>TIME(0,20,28)</f>
        <v>0.014212962962962962</v>
      </c>
      <c r="E4" s="7" t="s">
        <v>202</v>
      </c>
      <c r="F4" s="8">
        <f>TIME(0,41,34)-D4</f>
        <v>0.014652777777777782</v>
      </c>
      <c r="G4" s="7" t="s">
        <v>203</v>
      </c>
      <c r="H4" s="8">
        <f>TIME(1,1,32)-D4-F4</f>
        <v>0.013865740740740738</v>
      </c>
      <c r="I4" s="9">
        <f t="shared" si="0"/>
        <v>0.04273148148148148</v>
      </c>
      <c r="J4" s="6">
        <v>5</v>
      </c>
      <c r="K4" s="6"/>
    </row>
    <row r="5" spans="1:11" ht="15.75">
      <c r="A5" s="6">
        <v>3</v>
      </c>
      <c r="B5" s="11" t="s">
        <v>118</v>
      </c>
      <c r="C5" s="7" t="s">
        <v>226</v>
      </c>
      <c r="D5" s="8">
        <f>TIME(0,20,29)</f>
        <v>0.014224537037037037</v>
      </c>
      <c r="E5" s="7" t="s">
        <v>56</v>
      </c>
      <c r="F5" s="8">
        <f>TIME(0,41,50)-D5</f>
        <v>0.01482638888888889</v>
      </c>
      <c r="G5" s="7" t="s">
        <v>57</v>
      </c>
      <c r="H5" s="8">
        <f>TIME(1,1,46)-D5-F5</f>
        <v>0.013842592592592592</v>
      </c>
      <c r="I5" s="8">
        <f t="shared" si="0"/>
        <v>0.04289351851851852</v>
      </c>
      <c r="J5" s="6">
        <v>4</v>
      </c>
      <c r="K5" s="6"/>
    </row>
    <row r="6" spans="1:11" ht="15.75">
      <c r="A6" s="6">
        <v>4</v>
      </c>
      <c r="B6" s="5" t="s">
        <v>27</v>
      </c>
      <c r="C6" s="7" t="s">
        <v>55</v>
      </c>
      <c r="D6" s="8">
        <f>TIME(0,20,4)</f>
        <v>0.013935185185185184</v>
      </c>
      <c r="E6" s="7" t="s">
        <v>148</v>
      </c>
      <c r="F6" s="8">
        <f>TIME(0,41,16)-D6</f>
        <v>0.014722222222222222</v>
      </c>
      <c r="G6" s="7" t="s">
        <v>54</v>
      </c>
      <c r="H6" s="8">
        <f>TIME(1,2,1)-D6-F6</f>
        <v>0.014409722222222225</v>
      </c>
      <c r="I6" s="9">
        <f t="shared" si="0"/>
        <v>0.04306712962962963</v>
      </c>
      <c r="J6" s="6">
        <v>3</v>
      </c>
      <c r="K6" s="7"/>
    </row>
    <row r="7" spans="1:11" ht="15.75">
      <c r="A7" s="6">
        <v>5</v>
      </c>
      <c r="B7" s="5" t="s">
        <v>87</v>
      </c>
      <c r="C7" s="7" t="s">
        <v>101</v>
      </c>
      <c r="D7" s="8">
        <f>TIME(0,19,2)</f>
        <v>0.013217592592592593</v>
      </c>
      <c r="E7" s="7" t="s">
        <v>157</v>
      </c>
      <c r="F7" s="8">
        <f>TIME(0,42,27)-D7</f>
        <v>0.016261574074074074</v>
      </c>
      <c r="G7" s="7" t="s">
        <v>185</v>
      </c>
      <c r="H7" s="8">
        <f>TIME(1,4,48)-D7-F7</f>
        <v>0.015520833333333338</v>
      </c>
      <c r="I7" s="9">
        <f t="shared" si="0"/>
        <v>0.045000000000000005</v>
      </c>
      <c r="J7" s="6">
        <v>2</v>
      </c>
      <c r="K7" s="6"/>
    </row>
    <row r="8" spans="1:11" ht="15.75">
      <c r="A8" s="6">
        <v>6</v>
      </c>
      <c r="B8" s="5" t="s">
        <v>47</v>
      </c>
      <c r="C8" s="7" t="s">
        <v>149</v>
      </c>
      <c r="D8" s="8">
        <f>TIME(0,22,46)</f>
        <v>0.015810185185185184</v>
      </c>
      <c r="E8" s="7" t="s">
        <v>178</v>
      </c>
      <c r="F8" s="8">
        <f>TIME(0,44,17)-D8</f>
        <v>0.014942129629629632</v>
      </c>
      <c r="G8" s="7" t="s">
        <v>179</v>
      </c>
      <c r="H8" s="8">
        <f>TIME(1,6,12)-D8-F8</f>
        <v>0.015219907407407404</v>
      </c>
      <c r="I8" s="9">
        <f t="shared" si="0"/>
        <v>0.04597222222222222</v>
      </c>
      <c r="K8" s="6"/>
    </row>
    <row r="9" spans="1:11" ht="15.75">
      <c r="A9" s="6">
        <v>7</v>
      </c>
      <c r="B9" s="5" t="s">
        <v>150</v>
      </c>
      <c r="C9" s="7" t="s">
        <v>176</v>
      </c>
      <c r="D9" s="8">
        <f>TIME(0,23,24)</f>
        <v>0.016249999999999997</v>
      </c>
      <c r="E9" s="7" t="s">
        <v>60</v>
      </c>
      <c r="F9" s="8">
        <f>TIME(0,45,49)-D9</f>
        <v>0.015567129629629636</v>
      </c>
      <c r="G9" s="7" t="s">
        <v>177</v>
      </c>
      <c r="H9" s="8">
        <f>TIME(1,8,27)-D9-F9</f>
        <v>0.015717592592592592</v>
      </c>
      <c r="I9" s="9">
        <f t="shared" si="0"/>
        <v>0.04753472222222223</v>
      </c>
      <c r="J9" s="6">
        <v>1</v>
      </c>
      <c r="K9" s="6"/>
    </row>
    <row r="10" spans="1:11" ht="15.75">
      <c r="A10" s="6">
        <v>8</v>
      </c>
      <c r="B10" s="5" t="s">
        <v>78</v>
      </c>
      <c r="C10" s="7" t="s">
        <v>164</v>
      </c>
      <c r="D10" s="8">
        <f>TIME(0,25,1)</f>
        <v>0.017372685185185185</v>
      </c>
      <c r="E10" s="7" t="s">
        <v>190</v>
      </c>
      <c r="F10" s="8">
        <f>TIME(0,46,50)-D10</f>
        <v>0.015150462962962963</v>
      </c>
      <c r="G10" s="7" t="s">
        <v>165</v>
      </c>
      <c r="H10" s="8">
        <f>TIME(1,9,19)-D10-F10</f>
        <v>0.015613425925925926</v>
      </c>
      <c r="I10" s="9">
        <f t="shared" si="0"/>
        <v>0.048136574074074075</v>
      </c>
      <c r="K10" s="6"/>
    </row>
    <row r="11" spans="1:11" ht="15.75">
      <c r="A11" s="6">
        <v>9</v>
      </c>
      <c r="B11" s="5" t="s">
        <v>163</v>
      </c>
      <c r="C11" s="7" t="s">
        <v>81</v>
      </c>
      <c r="D11" s="8">
        <f>TIME(0,22,47)</f>
        <v>0.01582175925925926</v>
      </c>
      <c r="E11" s="7" t="s">
        <v>209</v>
      </c>
      <c r="F11" s="8">
        <f>TIME(0,48,35)-D11</f>
        <v>0.017916666666666668</v>
      </c>
      <c r="G11" s="7" t="s">
        <v>59</v>
      </c>
      <c r="H11" s="8">
        <f>TIME(1,19,11)-D11-F11</f>
        <v>0.02125</v>
      </c>
      <c r="I11" s="9">
        <f t="shared" si="0"/>
        <v>0.05498842592592593</v>
      </c>
      <c r="K11" s="6"/>
    </row>
    <row r="12" spans="1:11" ht="15.75">
      <c r="A12" s="6">
        <v>10</v>
      </c>
      <c r="B12" s="5" t="s">
        <v>253</v>
      </c>
      <c r="C12" s="7" t="s">
        <v>175</v>
      </c>
      <c r="D12" s="8">
        <f>TIME(0,26,30)</f>
        <v>0.01840277777777778</v>
      </c>
      <c r="E12" s="7" t="s">
        <v>75</v>
      </c>
      <c r="F12" s="8">
        <f>TIME(0,48,13)-D12</f>
        <v>0.015081018518518518</v>
      </c>
      <c r="G12" s="7" t="s">
        <v>102</v>
      </c>
      <c r="H12" s="8">
        <f>TIME(0,50,22)</f>
        <v>0.03497685185185185</v>
      </c>
      <c r="I12" s="9">
        <f t="shared" si="0"/>
        <v>0.06846064814814815</v>
      </c>
      <c r="K12" s="6"/>
    </row>
    <row r="13" spans="2:14" ht="15.75">
      <c r="B13" s="5" t="s">
        <v>180</v>
      </c>
      <c r="C13" s="7" t="s">
        <v>181</v>
      </c>
      <c r="D13" s="8">
        <f>TIME(0,23,7)</f>
        <v>0.01605324074074074</v>
      </c>
      <c r="E13" s="7" t="s">
        <v>182</v>
      </c>
      <c r="F13" s="8">
        <f>TIME(0,47,9)-D13</f>
        <v>0.016689814814814814</v>
      </c>
      <c r="I13" s="7"/>
      <c r="K13" s="6"/>
      <c r="M13" s="10"/>
      <c r="N13" s="6"/>
    </row>
    <row r="14" spans="9:14" ht="15.75">
      <c r="I14" s="7"/>
      <c r="K14" s="6"/>
      <c r="M14" s="10"/>
      <c r="N14" s="6"/>
    </row>
    <row r="15" spans="2:13" s="14" customFormat="1" ht="15.75">
      <c r="B15" s="4" t="s">
        <v>170</v>
      </c>
      <c r="C15" s="4" t="s">
        <v>250</v>
      </c>
      <c r="D15" s="4" t="s">
        <v>251</v>
      </c>
      <c r="E15" s="4" t="s">
        <v>252</v>
      </c>
      <c r="M15" s="15"/>
    </row>
    <row r="16" spans="5:14" ht="15.75">
      <c r="E16" s="6"/>
      <c r="I16" s="7"/>
      <c r="K16" s="6"/>
      <c r="M16" s="10"/>
      <c r="N16" s="6"/>
    </row>
    <row r="17" spans="1:14" ht="15.75">
      <c r="A17" s="6">
        <v>1</v>
      </c>
      <c r="B17" s="5" t="s">
        <v>27</v>
      </c>
      <c r="C17" s="4">
        <v>11</v>
      </c>
      <c r="D17" s="4">
        <v>3</v>
      </c>
      <c r="E17" s="4">
        <f aca="true" t="shared" si="1" ref="E17:E24">D17+C17</f>
        <v>14</v>
      </c>
      <c r="I17" s="7"/>
      <c r="K17" s="6"/>
      <c r="M17" s="10"/>
      <c r="N17" s="6"/>
    </row>
    <row r="18" spans="2:5" ht="15.75">
      <c r="B18" s="11" t="s">
        <v>118</v>
      </c>
      <c r="C18" s="4">
        <v>10</v>
      </c>
      <c r="D18" s="4">
        <v>4</v>
      </c>
      <c r="E18" s="4">
        <f t="shared" si="1"/>
        <v>14</v>
      </c>
    </row>
    <row r="19" spans="2:5" ht="15.75">
      <c r="B19" s="5" t="s">
        <v>58</v>
      </c>
      <c r="C19" s="4">
        <v>8</v>
      </c>
      <c r="D19" s="4">
        <v>6</v>
      </c>
      <c r="E19" s="4">
        <f t="shared" si="1"/>
        <v>14</v>
      </c>
    </row>
    <row r="20" spans="1:5" ht="15.75">
      <c r="A20" s="6">
        <v>4</v>
      </c>
      <c r="B20" s="5" t="s">
        <v>100</v>
      </c>
      <c r="C20" s="4">
        <v>5</v>
      </c>
      <c r="D20" s="4">
        <v>5</v>
      </c>
      <c r="E20" s="4">
        <f t="shared" si="1"/>
        <v>10</v>
      </c>
    </row>
    <row r="21" spans="1:5" ht="15.75">
      <c r="A21" s="6">
        <v>5</v>
      </c>
      <c r="B21" s="5" t="s">
        <v>26</v>
      </c>
      <c r="C21" s="4">
        <v>6</v>
      </c>
      <c r="D21" s="4"/>
      <c r="E21" s="4">
        <f t="shared" si="1"/>
        <v>6</v>
      </c>
    </row>
    <row r="22" spans="1:5" ht="15.75">
      <c r="A22" s="6">
        <v>6</v>
      </c>
      <c r="B22" s="5" t="s">
        <v>150</v>
      </c>
      <c r="C22" s="4">
        <v>4</v>
      </c>
      <c r="D22" s="4">
        <v>1</v>
      </c>
      <c r="E22" s="4">
        <f t="shared" si="1"/>
        <v>5</v>
      </c>
    </row>
    <row r="23" spans="1:5" ht="15.75">
      <c r="A23" s="6">
        <v>7</v>
      </c>
      <c r="B23" s="5" t="s">
        <v>87</v>
      </c>
      <c r="C23" s="4">
        <v>2</v>
      </c>
      <c r="D23" s="4">
        <v>2</v>
      </c>
      <c r="E23" s="4">
        <f t="shared" si="1"/>
        <v>4</v>
      </c>
    </row>
    <row r="24" spans="1:5" ht="15.75">
      <c r="A24" s="6">
        <v>8</v>
      </c>
      <c r="B24" s="5" t="s">
        <v>22</v>
      </c>
      <c r="C24" s="4">
        <v>3</v>
      </c>
      <c r="D24" s="4"/>
      <c r="E24" s="4">
        <f t="shared" si="1"/>
        <v>3</v>
      </c>
    </row>
    <row r="25" spans="1:2" ht="15.75">
      <c r="A25" s="6" t="s">
        <v>9</v>
      </c>
      <c r="B25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00390625" style="6" bestFit="1" customWidth="1"/>
    <col min="2" max="2" width="22.421875" style="5" bestFit="1" customWidth="1"/>
    <col min="3" max="3" width="14.57421875" style="7" bestFit="1" customWidth="1"/>
    <col min="4" max="4" width="9.00390625" style="6" bestFit="1" customWidth="1"/>
    <col min="5" max="5" width="19.140625" style="7" bestFit="1" customWidth="1"/>
    <col min="6" max="6" width="9.00390625" style="6" bestFit="1" customWidth="1"/>
    <col min="7" max="7" width="17.00390625" style="7" bestFit="1" customWidth="1"/>
    <col min="8" max="8" width="9.00390625" style="6" bestFit="1" customWidth="1"/>
    <col min="9" max="9" width="16.8515625" style="7" bestFit="1" customWidth="1"/>
    <col min="10" max="10" width="9.00390625" style="6" bestFit="1" customWidth="1"/>
    <col min="11" max="11" width="11.28125" style="6" bestFit="1" customWidth="1"/>
    <col min="12" max="13" width="9.140625" style="6" customWidth="1"/>
    <col min="14" max="16384" width="9.140625" style="7" customWidth="1"/>
  </cols>
  <sheetData>
    <row r="1" spans="1:12" s="2" customFormat="1" ht="18.75">
      <c r="A1" s="1" t="s">
        <v>174</v>
      </c>
      <c r="D1" s="3"/>
      <c r="F1" s="3"/>
      <c r="H1" s="3"/>
      <c r="I1" s="3"/>
      <c r="J1" s="3"/>
      <c r="L1" s="3"/>
    </row>
    <row r="2" spans="1:13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4</v>
      </c>
      <c r="J2" s="4" t="s">
        <v>8</v>
      </c>
      <c r="K2" s="4" t="s">
        <v>10</v>
      </c>
      <c r="L2" s="4" t="s">
        <v>104</v>
      </c>
      <c r="M2" s="4"/>
    </row>
    <row r="3" spans="1:12" ht="15.75">
      <c r="A3" s="6">
        <v>1</v>
      </c>
      <c r="B3" s="5" t="s">
        <v>53</v>
      </c>
      <c r="C3" s="7" t="s">
        <v>65</v>
      </c>
      <c r="D3" s="8">
        <f>TIME(0,17,46)</f>
        <v>0.012337962962962962</v>
      </c>
      <c r="E3" s="7" t="s">
        <v>161</v>
      </c>
      <c r="F3" s="8">
        <f>TIME(0,34,10)-D3</f>
        <v>0.011388888888888888</v>
      </c>
      <c r="G3" s="7" t="s">
        <v>64</v>
      </c>
      <c r="H3" s="8">
        <f>TIME(0,51,49)-D3-F3</f>
        <v>0.01225694444444445</v>
      </c>
      <c r="I3" s="7" t="s">
        <v>162</v>
      </c>
      <c r="J3" s="8">
        <f>TIME(1,9,50)-D3-F3-H3</f>
        <v>0.01251157407407408</v>
      </c>
      <c r="K3" s="9">
        <f>+J3+H3+F3+D3</f>
        <v>0.048495370370370376</v>
      </c>
      <c r="L3" s="6">
        <v>5</v>
      </c>
    </row>
    <row r="4" spans="1:12" ht="15.75">
      <c r="A4" s="6">
        <v>2</v>
      </c>
      <c r="B4" s="5" t="s">
        <v>26</v>
      </c>
      <c r="C4" s="7" t="s">
        <v>61</v>
      </c>
      <c r="D4" s="8">
        <f>TIME(0,18,42)</f>
        <v>0.01298611111111111</v>
      </c>
      <c r="E4" s="7" t="s">
        <v>62</v>
      </c>
      <c r="F4" s="8">
        <f>TIME(0,36,0)-D4</f>
        <v>0.012013888888888888</v>
      </c>
      <c r="G4" s="7" t="s">
        <v>128</v>
      </c>
      <c r="H4" s="8">
        <f>TIME(0,54,46)-D4-F4</f>
        <v>0.013032407407407414</v>
      </c>
      <c r="I4" s="7" t="s">
        <v>127</v>
      </c>
      <c r="J4" s="8">
        <f>TIME(1,11,36)-D4-F4-H4</f>
        <v>0.011689814814814814</v>
      </c>
      <c r="K4" s="9">
        <f>+J4+H4+F4+D4</f>
        <v>0.04972222222222222</v>
      </c>
      <c r="L4" s="6">
        <v>4</v>
      </c>
    </row>
    <row r="5" spans="1:12" ht="15.75">
      <c r="A5" s="6">
        <v>3</v>
      </c>
      <c r="B5" s="5" t="s">
        <v>22</v>
      </c>
      <c r="C5" s="7" t="s">
        <v>173</v>
      </c>
      <c r="D5" s="8">
        <f>TIME(0,17,51)</f>
        <v>0.012395833333333335</v>
      </c>
      <c r="E5" s="7" t="s">
        <v>221</v>
      </c>
      <c r="F5" s="8">
        <f>TIME(0,34,57)-D5</f>
        <v>0.011875</v>
      </c>
      <c r="G5" s="7" t="s">
        <v>222</v>
      </c>
      <c r="H5" s="8">
        <f>TIME(0,55,21)-D5-F5</f>
        <v>0.014166666666666664</v>
      </c>
      <c r="I5" s="7" t="s">
        <v>93</v>
      </c>
      <c r="J5" s="8">
        <f>TIME(1,14,58)-D5-F5-H5</f>
        <v>0.013622685185185182</v>
      </c>
      <c r="K5" s="9">
        <f>+J5+H5+F5+D5</f>
        <v>0.05206018518518518</v>
      </c>
      <c r="L5" s="6">
        <v>3</v>
      </c>
    </row>
    <row r="6" spans="1:12" ht="15.75">
      <c r="A6" s="6">
        <v>4</v>
      </c>
      <c r="B6" s="5" t="s">
        <v>17</v>
      </c>
      <c r="C6" s="7" t="s">
        <v>236</v>
      </c>
      <c r="D6" s="8">
        <f>TIME(0,17,47)</f>
        <v>0.012349537037037039</v>
      </c>
      <c r="E6" s="7" t="s">
        <v>66</v>
      </c>
      <c r="F6" s="8">
        <f>TIME(0,36,18)-D6</f>
        <v>0.012858796296296294</v>
      </c>
      <c r="G6" s="7" t="s">
        <v>237</v>
      </c>
      <c r="H6" s="8">
        <f>TIME(0,56,6)-D6-F6</f>
        <v>0.013750000000000004</v>
      </c>
      <c r="I6" s="7" t="s">
        <v>238</v>
      </c>
      <c r="J6" s="8">
        <f>TIME(1,17,21)-D6-F6-H6</f>
        <v>0.014756944444444435</v>
      </c>
      <c r="K6" s="9">
        <f>+J6+H6+F6+D6</f>
        <v>0.05371527777777777</v>
      </c>
      <c r="L6" s="6">
        <v>2</v>
      </c>
    </row>
    <row r="7" spans="1:14" ht="15.75">
      <c r="A7" s="6">
        <v>5</v>
      </c>
      <c r="B7" s="5" t="s">
        <v>37</v>
      </c>
      <c r="C7" s="7" t="s">
        <v>159</v>
      </c>
      <c r="D7" s="8">
        <f>TIME(0,21,32)</f>
        <v>0.014953703703703705</v>
      </c>
      <c r="E7" s="7" t="s">
        <v>67</v>
      </c>
      <c r="F7" s="8">
        <f>TIME(0,39,6)-D7</f>
        <v>0.012199074074074074</v>
      </c>
      <c r="G7" s="7" t="s">
        <v>195</v>
      </c>
      <c r="H7" s="8">
        <f>TIME(0,58,15)-D7-F7</f>
        <v>0.013298611111111112</v>
      </c>
      <c r="I7" s="7" t="s">
        <v>158</v>
      </c>
      <c r="J7" s="8">
        <f>TIME(1,19,24)-D7-F7-H7</f>
        <v>0.014687499999999992</v>
      </c>
      <c r="K7" s="9">
        <f>+J7+H7+F7+D7</f>
        <v>0.05513888888888888</v>
      </c>
      <c r="L7" s="6">
        <v>1</v>
      </c>
      <c r="M7" s="10"/>
      <c r="N7" s="6"/>
    </row>
    <row r="8" spans="4:14" ht="15.75">
      <c r="D8" s="8"/>
      <c r="F8" s="8"/>
      <c r="H8" s="8"/>
      <c r="J8" s="8"/>
      <c r="K8" s="9"/>
      <c r="M8" s="10"/>
      <c r="N8" s="6"/>
    </row>
    <row r="9" spans="2:13" s="14" customFormat="1" ht="15.75">
      <c r="B9" s="4" t="s">
        <v>170</v>
      </c>
      <c r="C9" s="4" t="s">
        <v>250</v>
      </c>
      <c r="D9" s="4" t="s">
        <v>251</v>
      </c>
      <c r="E9" s="4" t="s">
        <v>252</v>
      </c>
      <c r="M9" s="15"/>
    </row>
    <row r="10" spans="1:14" ht="15.75">
      <c r="A10" s="6" t="s">
        <v>9</v>
      </c>
      <c r="B10" s="7"/>
      <c r="E10" s="6"/>
      <c r="M10" s="10"/>
      <c r="N10" s="6"/>
    </row>
    <row r="11" spans="1:5" ht="15.75">
      <c r="A11" s="6">
        <v>1</v>
      </c>
      <c r="B11" s="5" t="s">
        <v>53</v>
      </c>
      <c r="C11" s="4">
        <v>8</v>
      </c>
      <c r="D11" s="4">
        <v>5</v>
      </c>
      <c r="E11" s="4">
        <f aca="true" t="shared" si="0" ref="E11:E16">D11+C11</f>
        <v>13</v>
      </c>
    </row>
    <row r="12" spans="1:5" ht="15.75">
      <c r="A12" s="6">
        <v>2</v>
      </c>
      <c r="B12" s="5" t="s">
        <v>26</v>
      </c>
      <c r="C12" s="4">
        <v>8</v>
      </c>
      <c r="D12" s="4">
        <v>4</v>
      </c>
      <c r="E12" s="4">
        <f t="shared" si="0"/>
        <v>12</v>
      </c>
    </row>
    <row r="13" spans="1:5" ht="15.75">
      <c r="A13" s="6">
        <v>3</v>
      </c>
      <c r="B13" s="5" t="s">
        <v>17</v>
      </c>
      <c r="C13" s="4">
        <v>4</v>
      </c>
      <c r="D13" s="4">
        <v>2</v>
      </c>
      <c r="E13" s="4">
        <f t="shared" si="0"/>
        <v>6</v>
      </c>
    </row>
    <row r="14" spans="1:5" ht="15.75">
      <c r="A14" s="6">
        <v>4</v>
      </c>
      <c r="B14" s="5" t="s">
        <v>45</v>
      </c>
      <c r="C14" s="4">
        <v>3</v>
      </c>
      <c r="D14" s="4"/>
      <c r="E14" s="4">
        <f t="shared" si="0"/>
        <v>3</v>
      </c>
    </row>
    <row r="15" spans="2:5" ht="15.75">
      <c r="B15" s="5" t="s">
        <v>37</v>
      </c>
      <c r="C15" s="4">
        <v>2</v>
      </c>
      <c r="D15" s="4">
        <v>1</v>
      </c>
      <c r="E15" s="4">
        <f t="shared" si="0"/>
        <v>3</v>
      </c>
    </row>
    <row r="16" spans="2:5" ht="15.75">
      <c r="B16" s="5" t="s">
        <v>22</v>
      </c>
      <c r="C16" s="5"/>
      <c r="D16" s="4">
        <v>3</v>
      </c>
      <c r="E16" s="4">
        <f t="shared" si="0"/>
        <v>3</v>
      </c>
    </row>
    <row r="17" spans="3:5" ht="15.75">
      <c r="C17" s="5"/>
      <c r="D17" s="4"/>
      <c r="E17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00390625" style="6" bestFit="1" customWidth="1"/>
    <col min="2" max="2" width="24.421875" style="5" bestFit="1" customWidth="1"/>
    <col min="3" max="3" width="20.00390625" style="7" bestFit="1" customWidth="1"/>
    <col min="4" max="4" width="9.00390625" style="6" bestFit="1" customWidth="1"/>
    <col min="5" max="5" width="25.00390625" style="7" customWidth="1"/>
    <col min="6" max="6" width="9.00390625" style="6" bestFit="1" customWidth="1"/>
    <col min="7" max="7" width="21.140625" style="7" bestFit="1" customWidth="1"/>
    <col min="8" max="8" width="9.00390625" style="6" bestFit="1" customWidth="1"/>
    <col min="9" max="9" width="11.28125" style="6" bestFit="1" customWidth="1"/>
    <col min="10" max="11" width="9.140625" style="6" customWidth="1"/>
    <col min="12" max="16384" width="9.140625" style="7" customWidth="1"/>
  </cols>
  <sheetData>
    <row r="1" spans="1:11" s="2" customFormat="1" ht="18.75">
      <c r="A1" s="1" t="s">
        <v>174</v>
      </c>
      <c r="D1" s="3"/>
      <c r="F1" s="3"/>
      <c r="H1" s="3"/>
      <c r="I1" s="3"/>
      <c r="J1" s="3"/>
      <c r="K1" s="3"/>
    </row>
    <row r="2" spans="1:11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104</v>
      </c>
      <c r="K2" s="4"/>
    </row>
    <row r="3" spans="1:10" ht="15.75">
      <c r="A3" s="6">
        <v>1</v>
      </c>
      <c r="B3" s="5" t="s">
        <v>22</v>
      </c>
      <c r="C3" s="7" t="s">
        <v>91</v>
      </c>
      <c r="D3" s="8">
        <f>TIME(0,18,26)</f>
        <v>0.012800925925925926</v>
      </c>
      <c r="E3" s="7" t="s">
        <v>105</v>
      </c>
      <c r="F3" s="8">
        <f>TIME(0,36,51)-D3</f>
        <v>0.012789351851851852</v>
      </c>
      <c r="G3" s="7" t="s">
        <v>223</v>
      </c>
      <c r="H3" s="8">
        <f>TIME(0,54,54)-D3-F3</f>
        <v>0.012534722222222223</v>
      </c>
      <c r="I3" s="9">
        <f aca="true" t="shared" si="0" ref="I3:I9">+H3+F3+D3</f>
        <v>0.038125</v>
      </c>
      <c r="J3" s="6">
        <v>6</v>
      </c>
    </row>
    <row r="4" spans="1:10" ht="15.75">
      <c r="A4" s="6">
        <v>2</v>
      </c>
      <c r="B4" s="5" t="s">
        <v>87</v>
      </c>
      <c r="C4" s="7" t="s">
        <v>186</v>
      </c>
      <c r="D4" s="8">
        <f>TIME(0,18,51)</f>
        <v>0.013090277777777779</v>
      </c>
      <c r="E4" s="7" t="s">
        <v>88</v>
      </c>
      <c r="F4" s="8">
        <f>TIME(0,38,59)-D4</f>
        <v>0.013981481481481478</v>
      </c>
      <c r="G4" s="7" t="s">
        <v>89</v>
      </c>
      <c r="H4" s="8">
        <f>TIME(0,58,22)-D4-F4</f>
        <v>0.01346064814814815</v>
      </c>
      <c r="I4" s="9">
        <f t="shared" si="0"/>
        <v>0.040532407407407406</v>
      </c>
      <c r="J4" s="6">
        <v>5</v>
      </c>
    </row>
    <row r="5" spans="1:10" ht="15.75">
      <c r="A5" s="6">
        <v>3</v>
      </c>
      <c r="B5" s="5" t="s">
        <v>82</v>
      </c>
      <c r="C5" s="7" t="s">
        <v>90</v>
      </c>
      <c r="D5" s="8">
        <f>TIME(0,19,35)</f>
        <v>0.013599537037037037</v>
      </c>
      <c r="E5" s="7" t="s">
        <v>107</v>
      </c>
      <c r="F5" s="8">
        <f>TIME(0,40,8)-D5</f>
        <v>0.014270833333333332</v>
      </c>
      <c r="G5" s="7" t="s">
        <v>239</v>
      </c>
      <c r="H5" s="8">
        <f>TIME(1,0,31)-D5-F5</f>
        <v>0.0141550925925926</v>
      </c>
      <c r="I5" s="9">
        <f t="shared" si="0"/>
        <v>0.042025462962962966</v>
      </c>
      <c r="J5" s="6">
        <v>4</v>
      </c>
    </row>
    <row r="6" spans="1:10" ht="15.75">
      <c r="A6" s="6">
        <v>4</v>
      </c>
      <c r="B6" s="5" t="s">
        <v>116</v>
      </c>
      <c r="C6" s="7" t="s">
        <v>145</v>
      </c>
      <c r="D6" s="8">
        <f>TIME(0,19,50)</f>
        <v>0.013773148148148147</v>
      </c>
      <c r="E6" s="7" t="s">
        <v>144</v>
      </c>
      <c r="F6" s="8">
        <f>TIME(0,41,9)-D6</f>
        <v>0.01480324074074074</v>
      </c>
      <c r="G6" s="7" t="s">
        <v>46</v>
      </c>
      <c r="H6" s="8">
        <f>TIME(1,1,52)-D6-F6</f>
        <v>0.014386574074074074</v>
      </c>
      <c r="I6" s="9">
        <f t="shared" si="0"/>
        <v>0.04296296296296296</v>
      </c>
      <c r="J6" s="6">
        <v>3</v>
      </c>
    </row>
    <row r="7" spans="1:10" ht="15.75">
      <c r="A7" s="6">
        <v>5</v>
      </c>
      <c r="B7" s="5" t="s">
        <v>49</v>
      </c>
      <c r="C7" s="7" t="s">
        <v>99</v>
      </c>
      <c r="D7" s="8">
        <f>TIME(0,21,20)</f>
        <v>0.014814814814814814</v>
      </c>
      <c r="E7" s="7" t="s">
        <v>106</v>
      </c>
      <c r="F7" s="8">
        <f>TIME(0,44,27)-D7</f>
        <v>0.016053240740740743</v>
      </c>
      <c r="G7" s="7" t="s">
        <v>224</v>
      </c>
      <c r="H7" s="8">
        <f>TIME(1,3,57)-D7-F7</f>
        <v>0.013541666666666667</v>
      </c>
      <c r="I7" s="9">
        <f t="shared" si="0"/>
        <v>0.044409722222222225</v>
      </c>
      <c r="J7" s="6" t="s">
        <v>9</v>
      </c>
    </row>
    <row r="8" spans="1:10" ht="15.75">
      <c r="A8" s="6">
        <v>6</v>
      </c>
      <c r="B8" s="5" t="s">
        <v>51</v>
      </c>
      <c r="C8" s="7" t="s">
        <v>246</v>
      </c>
      <c r="D8" s="8">
        <f>TIME(0,21,50)</f>
        <v>0.015162037037037036</v>
      </c>
      <c r="E8" s="7" t="s">
        <v>92</v>
      </c>
      <c r="F8" s="8">
        <f>TIME(0,40,31)-D8</f>
        <v>0.012974537037037038</v>
      </c>
      <c r="G8" s="7" t="s">
        <v>247</v>
      </c>
      <c r="H8" s="8">
        <f>TIME(1,4,0)-D8-F8</f>
        <v>0.016307870370370372</v>
      </c>
      <c r="I8" s="9">
        <f t="shared" si="0"/>
        <v>0.044444444444444446</v>
      </c>
      <c r="J8" s="6">
        <v>2</v>
      </c>
    </row>
    <row r="9" spans="1:10" ht="15.75">
      <c r="A9" s="6">
        <v>7</v>
      </c>
      <c r="B9" s="5" t="s">
        <v>37</v>
      </c>
      <c r="C9" s="7" t="s">
        <v>196</v>
      </c>
      <c r="D9" s="8">
        <f>TIME(0,23,51)</f>
        <v>0.0165625</v>
      </c>
      <c r="E9" s="7" t="s">
        <v>197</v>
      </c>
      <c r="F9" s="8">
        <f>TIME(0,44,56)-D9</f>
        <v>0.014641203703703701</v>
      </c>
      <c r="G9" s="7" t="s">
        <v>103</v>
      </c>
      <c r="H9" s="8">
        <f>TIME(1,19,51)-D9-F9</f>
        <v>0.024247685185185188</v>
      </c>
      <c r="I9" s="9">
        <f t="shared" si="0"/>
        <v>0.05545138888888889</v>
      </c>
      <c r="J9" s="6">
        <v>1</v>
      </c>
    </row>
    <row r="10" spans="4:9" ht="15.75">
      <c r="D10" s="8"/>
      <c r="F10" s="8"/>
      <c r="H10" s="8"/>
      <c r="I10" s="9"/>
    </row>
    <row r="11" spans="2:13" s="14" customFormat="1" ht="15.75">
      <c r="B11" s="4" t="s">
        <v>170</v>
      </c>
      <c r="C11" s="4" t="s">
        <v>250</v>
      </c>
      <c r="D11" s="4" t="s">
        <v>251</v>
      </c>
      <c r="E11" s="4" t="s">
        <v>252</v>
      </c>
      <c r="M11" s="15"/>
    </row>
    <row r="12" spans="1:13" ht="15.75">
      <c r="A12" s="6" t="s">
        <v>9</v>
      </c>
      <c r="B12" s="7"/>
      <c r="C12" s="4"/>
      <c r="D12" s="4"/>
      <c r="I12" s="7"/>
      <c r="L12" s="10"/>
      <c r="M12" s="6"/>
    </row>
    <row r="13" spans="1:5" ht="15.75">
      <c r="A13" s="6">
        <v>1</v>
      </c>
      <c r="B13" s="5" t="s">
        <v>22</v>
      </c>
      <c r="C13" s="4">
        <v>9</v>
      </c>
      <c r="D13" s="6">
        <v>6</v>
      </c>
      <c r="E13" s="6">
        <f aca="true" t="shared" si="1" ref="E13:E18">D13+C13</f>
        <v>15</v>
      </c>
    </row>
    <row r="14" spans="1:5" ht="15.75">
      <c r="A14" s="6">
        <v>2</v>
      </c>
      <c r="B14" s="5" t="s">
        <v>51</v>
      </c>
      <c r="C14" s="4">
        <v>9</v>
      </c>
      <c r="D14" s="6">
        <v>2</v>
      </c>
      <c r="E14" s="6">
        <f t="shared" si="1"/>
        <v>11</v>
      </c>
    </row>
    <row r="15" spans="2:5" ht="15.75">
      <c r="B15" s="5" t="s">
        <v>87</v>
      </c>
      <c r="C15" s="4">
        <v>6</v>
      </c>
      <c r="D15" s="6">
        <v>5</v>
      </c>
      <c r="E15" s="6">
        <f t="shared" si="1"/>
        <v>11</v>
      </c>
    </row>
    <row r="16" spans="1:5" ht="15.75">
      <c r="A16" s="6">
        <v>4</v>
      </c>
      <c r="B16" s="5" t="s">
        <v>82</v>
      </c>
      <c r="C16" s="4">
        <v>4</v>
      </c>
      <c r="D16" s="6">
        <v>4</v>
      </c>
      <c r="E16" s="6">
        <f t="shared" si="1"/>
        <v>8</v>
      </c>
    </row>
    <row r="17" spans="1:5" ht="15.75">
      <c r="A17" s="6">
        <v>5</v>
      </c>
      <c r="B17" s="5" t="s">
        <v>116</v>
      </c>
      <c r="C17" s="4">
        <v>1</v>
      </c>
      <c r="D17" s="6">
        <v>3</v>
      </c>
      <c r="E17" s="6">
        <f t="shared" si="1"/>
        <v>4</v>
      </c>
    </row>
    <row r="18" spans="1:5" ht="15.75">
      <c r="A18" s="6">
        <v>6</v>
      </c>
      <c r="B18" s="5" t="s">
        <v>37</v>
      </c>
      <c r="C18" s="4">
        <v>1</v>
      </c>
      <c r="D18" s="6">
        <v>1</v>
      </c>
      <c r="E18" s="6">
        <f t="shared" si="1"/>
        <v>2</v>
      </c>
    </row>
    <row r="19" ht="15.75">
      <c r="C19" s="4"/>
    </row>
    <row r="20" ht="15.75">
      <c r="C20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.00390625" style="6" bestFit="1" customWidth="1"/>
    <col min="2" max="2" width="21.421875" style="5" bestFit="1" customWidth="1"/>
    <col min="3" max="3" width="19.00390625" style="7" customWidth="1"/>
    <col min="4" max="4" width="9.00390625" style="6" bestFit="1" customWidth="1"/>
    <col min="5" max="5" width="17.7109375" style="7" bestFit="1" customWidth="1"/>
    <col min="6" max="6" width="9.00390625" style="6" bestFit="1" customWidth="1"/>
    <col min="7" max="7" width="15.57421875" style="7" customWidth="1"/>
    <col min="8" max="8" width="9.00390625" style="6" bestFit="1" customWidth="1"/>
    <col min="9" max="9" width="11.28125" style="6" bestFit="1" customWidth="1"/>
    <col min="10" max="16384" width="9.140625" style="7" customWidth="1"/>
  </cols>
  <sheetData>
    <row r="1" spans="1:9" s="2" customFormat="1" ht="18.75">
      <c r="A1" s="1" t="s">
        <v>174</v>
      </c>
      <c r="D1" s="3"/>
      <c r="F1" s="3"/>
      <c r="H1" s="3"/>
      <c r="I1" s="3"/>
    </row>
    <row r="2" spans="1:10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104</v>
      </c>
    </row>
    <row r="3" spans="1:10" s="5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6">
        <v>1</v>
      </c>
      <c r="B4" s="5" t="s">
        <v>22</v>
      </c>
      <c r="C4" s="7" t="s">
        <v>134</v>
      </c>
      <c r="D4" s="8">
        <f>TIME(0,21,29)</f>
        <v>0.014918981481481483</v>
      </c>
      <c r="E4" s="7" t="s">
        <v>225</v>
      </c>
      <c r="F4" s="8">
        <f>TIME(0,41,48)-D4</f>
        <v>0.014108796296296295</v>
      </c>
      <c r="G4" s="7" t="s">
        <v>98</v>
      </c>
      <c r="H4" s="8">
        <f>TIME(1,2,54)-D4-F4</f>
        <v>0.014652777777777777</v>
      </c>
      <c r="I4" s="9">
        <f>+H4+F4+D4</f>
        <v>0.043680555555555556</v>
      </c>
      <c r="J4" s="6">
        <v>2</v>
      </c>
    </row>
    <row r="5" spans="1:10" ht="15.75">
      <c r="A5" s="6">
        <v>2</v>
      </c>
      <c r="B5" s="5" t="s">
        <v>17</v>
      </c>
      <c r="C5" s="7" t="s">
        <v>111</v>
      </c>
      <c r="D5" s="8">
        <f>TIME(0,19,27)</f>
        <v>0.013506944444444445</v>
      </c>
      <c r="E5" s="7" t="s">
        <v>112</v>
      </c>
      <c r="F5" s="8">
        <f>TIME(0,42,39)-D5</f>
        <v>0.01611111111111111</v>
      </c>
      <c r="G5" s="7" t="s">
        <v>113</v>
      </c>
      <c r="H5" s="8">
        <f>TIME(1,4,41)-D5-F5</f>
        <v>0.015300925925925926</v>
      </c>
      <c r="I5" s="9">
        <f>+H5+F5+D5</f>
        <v>0.04491898148148148</v>
      </c>
      <c r="J5" s="6">
        <v>1</v>
      </c>
    </row>
    <row r="6" spans="1:12" ht="15.75">
      <c r="A6" s="6" t="s">
        <v>9</v>
      </c>
      <c r="B6" s="7"/>
      <c r="I6" s="7"/>
      <c r="J6" s="6"/>
      <c r="K6" s="10"/>
      <c r="L6" s="6"/>
    </row>
    <row r="7" spans="2:13" s="14" customFormat="1" ht="15.75">
      <c r="B7" s="4" t="s">
        <v>170</v>
      </c>
      <c r="C7" s="4" t="s">
        <v>250</v>
      </c>
      <c r="D7" s="4" t="s">
        <v>251</v>
      </c>
      <c r="E7" s="4" t="s">
        <v>252</v>
      </c>
      <c r="M7" s="15"/>
    </row>
    <row r="8" spans="1:12" ht="15.75">
      <c r="A8" s="6" t="s">
        <v>9</v>
      </c>
      <c r="B8" s="7"/>
      <c r="C8" s="4"/>
      <c r="D8" s="4"/>
      <c r="I8" s="7"/>
      <c r="J8" s="6"/>
      <c r="K8" s="10"/>
      <c r="L8" s="6"/>
    </row>
    <row r="9" spans="1:5" ht="15.75">
      <c r="A9" s="6">
        <v>1</v>
      </c>
      <c r="B9" s="5" t="s">
        <v>22</v>
      </c>
      <c r="C9" s="4">
        <v>4</v>
      </c>
      <c r="D9" s="4">
        <v>2</v>
      </c>
      <c r="E9" s="4">
        <f>D9+C9</f>
        <v>6</v>
      </c>
    </row>
    <row r="10" spans="1:5" ht="15.75">
      <c r="A10" s="6">
        <v>2</v>
      </c>
      <c r="B10" s="5" t="s">
        <v>17</v>
      </c>
      <c r="C10" s="4">
        <v>3</v>
      </c>
      <c r="D10" s="4">
        <v>1</v>
      </c>
      <c r="E10" s="4">
        <f>D10+C10</f>
        <v>4</v>
      </c>
    </row>
    <row r="11" spans="1:5" ht="15.75">
      <c r="A11" s="6">
        <v>3</v>
      </c>
      <c r="B11" s="5" t="s">
        <v>37</v>
      </c>
      <c r="C11" s="4">
        <v>2</v>
      </c>
      <c r="D11" s="4"/>
      <c r="E11" s="4">
        <f>D11+C11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9.00390625" style="6" bestFit="1" customWidth="1"/>
    <col min="2" max="2" width="24.421875" style="5" bestFit="1" customWidth="1"/>
    <col min="3" max="3" width="15.421875" style="7" bestFit="1" customWidth="1"/>
    <col min="4" max="4" width="9.00390625" style="6" bestFit="1" customWidth="1"/>
    <col min="5" max="5" width="20.421875" style="7" customWidth="1"/>
    <col min="6" max="6" width="9.00390625" style="6" bestFit="1" customWidth="1"/>
    <col min="7" max="7" width="24.00390625" style="7" bestFit="1" customWidth="1"/>
    <col min="8" max="8" width="9.00390625" style="6" bestFit="1" customWidth="1"/>
    <col min="9" max="9" width="11.28125" style="6" bestFit="1" customWidth="1"/>
    <col min="10" max="16384" width="9.140625" style="7" customWidth="1"/>
  </cols>
  <sheetData>
    <row r="1" spans="1:9" s="2" customFormat="1" ht="18.75">
      <c r="A1" s="1" t="s">
        <v>174</v>
      </c>
      <c r="D1" s="3"/>
      <c r="F1" s="3"/>
      <c r="H1" s="3"/>
      <c r="I1" s="3"/>
    </row>
    <row r="2" spans="1:10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104</v>
      </c>
    </row>
    <row r="3" spans="1:10" ht="15.75">
      <c r="A3" s="6">
        <v>1</v>
      </c>
      <c r="B3" s="5" t="s">
        <v>51</v>
      </c>
      <c r="C3" s="7" t="s">
        <v>119</v>
      </c>
      <c r="D3" s="8">
        <f>TIME(0,18,1)</f>
        <v>0.012511574074074073</v>
      </c>
      <c r="E3" s="7" t="s">
        <v>241</v>
      </c>
      <c r="F3" s="8">
        <f>TIME(0,39,10)-D3</f>
        <v>0.014687500000000001</v>
      </c>
      <c r="G3" s="7" t="s">
        <v>242</v>
      </c>
      <c r="H3" s="8">
        <f>TIME(1,1,26)-D3-F3</f>
        <v>0.015462962962962961</v>
      </c>
      <c r="I3" s="9">
        <f aca="true" t="shared" si="0" ref="I3:I8">+H3+F3+D3</f>
        <v>0.04266203703703703</v>
      </c>
      <c r="J3" s="6">
        <v>5</v>
      </c>
    </row>
    <row r="4" spans="1:10" ht="15.75">
      <c r="A4" s="6">
        <v>2</v>
      </c>
      <c r="B4" s="5" t="s">
        <v>82</v>
      </c>
      <c r="C4" s="7" t="s">
        <v>167</v>
      </c>
      <c r="D4" s="8">
        <f>TIME(0,22,10)</f>
        <v>0.01539351851851852</v>
      </c>
      <c r="E4" s="7" t="s">
        <v>205</v>
      </c>
      <c r="F4" s="8">
        <f>TIME(0,43,38)-D4</f>
        <v>0.014907407407407406</v>
      </c>
      <c r="G4" s="7" t="s">
        <v>83</v>
      </c>
      <c r="H4" s="8">
        <f>TIME(1,4,7)-D4-F4</f>
        <v>0.01422453703703704</v>
      </c>
      <c r="I4" s="9">
        <f t="shared" si="0"/>
        <v>0.04452546296296297</v>
      </c>
      <c r="J4" s="6">
        <v>4</v>
      </c>
    </row>
    <row r="5" spans="1:10" ht="15.75">
      <c r="A5" s="6">
        <v>6</v>
      </c>
      <c r="B5" s="5" t="s">
        <v>187</v>
      </c>
      <c r="C5" s="7" t="s">
        <v>188</v>
      </c>
      <c r="D5" s="12">
        <f>TIME(0,21,40)</f>
        <v>0.015046296296296295</v>
      </c>
      <c r="E5" s="7" t="s">
        <v>189</v>
      </c>
      <c r="F5" s="8">
        <f>TIME(0,44,2)-D5</f>
        <v>0.015532407407407406</v>
      </c>
      <c r="G5" s="7" t="s">
        <v>69</v>
      </c>
      <c r="H5" s="8">
        <f>TIME(1,4,15)-D5-F5</f>
        <v>0.014039351851851857</v>
      </c>
      <c r="I5" s="9">
        <f t="shared" si="0"/>
        <v>0.04461805555555556</v>
      </c>
      <c r="J5" s="6">
        <v>3</v>
      </c>
    </row>
    <row r="6" spans="1:10" ht="15.75">
      <c r="A6" s="6">
        <v>3</v>
      </c>
      <c r="B6" s="5" t="s">
        <v>37</v>
      </c>
      <c r="C6" s="7" t="s">
        <v>152</v>
      </c>
      <c r="D6" s="8">
        <f>TIME(0,20,42)</f>
        <v>0.014374999999999999</v>
      </c>
      <c r="E6" s="7" t="s">
        <v>68</v>
      </c>
      <c r="F6" s="8">
        <f>TIME(0,43,34)-D6</f>
        <v>0.015879629629629632</v>
      </c>
      <c r="G6" s="7" t="s">
        <v>151</v>
      </c>
      <c r="H6" s="8">
        <f>TIME(1,7,34)-D6-F6</f>
        <v>0.016666666666666663</v>
      </c>
      <c r="I6" s="9">
        <f t="shared" si="0"/>
        <v>0.046921296296296294</v>
      </c>
      <c r="J6" s="6">
        <v>2</v>
      </c>
    </row>
    <row r="7" spans="1:10" ht="15.75">
      <c r="A7" s="6">
        <v>2</v>
      </c>
      <c r="B7" s="5" t="s">
        <v>52</v>
      </c>
      <c r="C7" s="7" t="s">
        <v>191</v>
      </c>
      <c r="D7" s="8">
        <f>TIME(0,21,41)</f>
        <v>0.015057870370370369</v>
      </c>
      <c r="E7" s="7" t="s">
        <v>77</v>
      </c>
      <c r="F7" s="8">
        <f>TIME(0,45,5)-D7</f>
        <v>0.01625</v>
      </c>
      <c r="G7" s="7" t="s">
        <v>70</v>
      </c>
      <c r="H7" s="8">
        <f>TIME(1,9,34)-D7-F7</f>
        <v>0.017002314814814817</v>
      </c>
      <c r="I7" s="9">
        <f t="shared" si="0"/>
        <v>0.048310185185185185</v>
      </c>
      <c r="J7" s="6" t="s">
        <v>9</v>
      </c>
    </row>
    <row r="8" spans="1:10" ht="15.75">
      <c r="A8" s="6">
        <v>4</v>
      </c>
      <c r="B8" s="5" t="s">
        <v>116</v>
      </c>
      <c r="C8" s="7" t="s">
        <v>114</v>
      </c>
      <c r="D8" s="12">
        <f>TIME(0,22,9)</f>
        <v>0.015381944444444443</v>
      </c>
      <c r="E8" s="7" t="s">
        <v>227</v>
      </c>
      <c r="F8" s="8">
        <f>TIME(0,46,38)-D8</f>
        <v>0.017002314814814817</v>
      </c>
      <c r="G8" s="7" t="s">
        <v>228</v>
      </c>
      <c r="H8" s="8">
        <f>TIME(1,12,57)-D8-F8</f>
        <v>0.018275462962962966</v>
      </c>
      <c r="I8" s="9">
        <f t="shared" si="0"/>
        <v>0.050659722222222224</v>
      </c>
      <c r="J8" s="6">
        <v>1</v>
      </c>
    </row>
    <row r="10" spans="2:13" s="14" customFormat="1" ht="15.75">
      <c r="B10" s="4" t="s">
        <v>170</v>
      </c>
      <c r="C10" s="4" t="s">
        <v>250</v>
      </c>
      <c r="D10" s="4" t="s">
        <v>251</v>
      </c>
      <c r="E10" s="4" t="s">
        <v>252</v>
      </c>
      <c r="M10" s="15"/>
    </row>
    <row r="12" spans="1:5" ht="15.75">
      <c r="A12" s="6">
        <v>1</v>
      </c>
      <c r="B12" s="5" t="s">
        <v>51</v>
      </c>
      <c r="C12" s="4">
        <v>6</v>
      </c>
      <c r="D12" s="4">
        <v>5</v>
      </c>
      <c r="E12" s="4">
        <f>C12+D12</f>
        <v>11</v>
      </c>
    </row>
    <row r="13" spans="1:5" ht="15.75">
      <c r="A13" s="6">
        <v>2</v>
      </c>
      <c r="B13" s="5" t="s">
        <v>82</v>
      </c>
      <c r="C13" s="4">
        <v>6</v>
      </c>
      <c r="D13" s="4">
        <v>4</v>
      </c>
      <c r="E13" s="4">
        <f>C13+D13</f>
        <v>10</v>
      </c>
    </row>
    <row r="14" spans="1:5" ht="15.75">
      <c r="A14" s="6">
        <v>3</v>
      </c>
      <c r="B14" s="5" t="s">
        <v>37</v>
      </c>
      <c r="C14" s="4">
        <v>3</v>
      </c>
      <c r="D14" s="4">
        <v>2</v>
      </c>
      <c r="E14" s="4">
        <f>C14+D14</f>
        <v>5</v>
      </c>
    </row>
    <row r="15" spans="1:5" ht="15.75">
      <c r="A15" s="6">
        <v>4</v>
      </c>
      <c r="B15" s="5" t="s">
        <v>22</v>
      </c>
      <c r="D15" s="4">
        <v>3</v>
      </c>
      <c r="E15" s="4">
        <f>C15+D15</f>
        <v>3</v>
      </c>
    </row>
    <row r="16" spans="1:5" ht="15.75">
      <c r="A16" s="6">
        <v>5</v>
      </c>
      <c r="B16" s="5" t="s">
        <v>116</v>
      </c>
      <c r="C16" s="4">
        <v>1</v>
      </c>
      <c r="D16" s="4">
        <v>1</v>
      </c>
      <c r="E16" s="4">
        <f>C16+D16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9.00390625" style="6" bestFit="1" customWidth="1"/>
    <col min="2" max="2" width="22.7109375" style="5" bestFit="1" customWidth="1"/>
    <col min="3" max="3" width="25.7109375" style="7" bestFit="1" customWidth="1"/>
    <col min="4" max="4" width="9.00390625" style="6" bestFit="1" customWidth="1"/>
    <col min="5" max="5" width="19.7109375" style="7" bestFit="1" customWidth="1"/>
    <col min="6" max="6" width="9.00390625" style="6" bestFit="1" customWidth="1"/>
    <col min="7" max="7" width="15.8515625" style="7" bestFit="1" customWidth="1"/>
    <col min="8" max="8" width="9.00390625" style="6" bestFit="1" customWidth="1"/>
    <col min="9" max="9" width="11.28125" style="6" bestFit="1" customWidth="1"/>
    <col min="10" max="10" width="9.140625" style="6" customWidth="1"/>
    <col min="11" max="16384" width="9.140625" style="7" customWidth="1"/>
  </cols>
  <sheetData>
    <row r="1" spans="1:10" s="2" customFormat="1" ht="18.75">
      <c r="A1" s="1" t="s">
        <v>174</v>
      </c>
      <c r="D1" s="3"/>
      <c r="F1" s="3"/>
      <c r="H1" s="3"/>
      <c r="I1" s="3"/>
      <c r="J1" s="3"/>
    </row>
    <row r="2" spans="1:10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104</v>
      </c>
    </row>
    <row r="3" spans="1:10" ht="15.75">
      <c r="A3" s="6">
        <v>1</v>
      </c>
      <c r="B3" s="5" t="s">
        <v>26</v>
      </c>
      <c r="C3" s="7" t="s">
        <v>71</v>
      </c>
      <c r="D3" s="8">
        <f>TIME(0,21,44)</f>
        <v>0.015092592592592593</v>
      </c>
      <c r="E3" s="7" t="s">
        <v>240</v>
      </c>
      <c r="F3" s="8">
        <f>TIME(0,43,45)-D3</f>
        <v>0.01528935185185185</v>
      </c>
      <c r="G3" s="7" t="s">
        <v>72</v>
      </c>
      <c r="H3" s="8">
        <f>TIME(1,4,6)-D3-F3</f>
        <v>0.014131944444444442</v>
      </c>
      <c r="I3" s="9">
        <f aca="true" t="shared" si="0" ref="I3:I8">+H3+F3+D3</f>
        <v>0.04451388888888889</v>
      </c>
      <c r="J3" s="6">
        <v>5</v>
      </c>
    </row>
    <row r="4" spans="1:10" ht="15.75">
      <c r="A4" s="6">
        <v>2</v>
      </c>
      <c r="B4" s="5" t="s">
        <v>84</v>
      </c>
      <c r="C4" s="7" t="s">
        <v>206</v>
      </c>
      <c r="D4" s="8">
        <f>TIME(0,22,50)</f>
        <v>0.015856481481481482</v>
      </c>
      <c r="E4" s="7" t="s">
        <v>207</v>
      </c>
      <c r="F4" s="8">
        <f>TIME(0,44,35)-D4</f>
        <v>0.015104166666666669</v>
      </c>
      <c r="G4" s="7" t="s">
        <v>208</v>
      </c>
      <c r="H4" s="8">
        <f>TIME(1,8,41)-D4-F4</f>
        <v>0.016736111111111104</v>
      </c>
      <c r="I4" s="9">
        <f t="shared" si="0"/>
        <v>0.04769675925925926</v>
      </c>
      <c r="J4" s="6">
        <v>4</v>
      </c>
    </row>
    <row r="5" spans="1:10" ht="15.75">
      <c r="A5" s="6">
        <v>3</v>
      </c>
      <c r="B5" s="5" t="s">
        <v>37</v>
      </c>
      <c r="C5" s="7" t="s">
        <v>73</v>
      </c>
      <c r="D5" s="8">
        <f>TIME(0,22,24)</f>
        <v>0.015555555555555553</v>
      </c>
      <c r="E5" s="7" t="s">
        <v>74</v>
      </c>
      <c r="F5" s="8">
        <f>TIME(0,45,15)-D5</f>
        <v>0.01586805555555556</v>
      </c>
      <c r="G5" s="7" t="s">
        <v>153</v>
      </c>
      <c r="H5" s="8">
        <f>TIME(1,10,31)-D5-F5</f>
        <v>0.017546296296296303</v>
      </c>
      <c r="I5" s="9">
        <f t="shared" si="0"/>
        <v>0.04896990740740741</v>
      </c>
      <c r="J5" s="6">
        <v>3</v>
      </c>
    </row>
    <row r="6" spans="1:10" ht="15.75">
      <c r="A6" s="6">
        <v>4</v>
      </c>
      <c r="B6" s="5" t="s">
        <v>120</v>
      </c>
      <c r="C6" s="7" t="s">
        <v>121</v>
      </c>
      <c r="D6" s="8">
        <f>TIME(0,23,4)</f>
        <v>0.01601851851851852</v>
      </c>
      <c r="E6" s="7" t="s">
        <v>86</v>
      </c>
      <c r="F6" s="8">
        <f>TIME(0,48,38)-D6</f>
        <v>0.01775462962962963</v>
      </c>
      <c r="G6" s="7" t="s">
        <v>85</v>
      </c>
      <c r="H6" s="8">
        <f>TIME(1,13,16)-D6-F6</f>
        <v>0.017106481481481476</v>
      </c>
      <c r="I6" s="9">
        <f t="shared" si="0"/>
        <v>0.05087962962962962</v>
      </c>
      <c r="J6" s="6">
        <v>2</v>
      </c>
    </row>
    <row r="7" spans="1:10" ht="15.75">
      <c r="A7" s="6">
        <v>5</v>
      </c>
      <c r="B7" s="5" t="s">
        <v>45</v>
      </c>
      <c r="C7" s="7" t="s">
        <v>117</v>
      </c>
      <c r="D7" s="8">
        <f>TIME(0,26,6)</f>
        <v>0.018125</v>
      </c>
      <c r="E7" s="7" t="s">
        <v>229</v>
      </c>
      <c r="F7" s="8">
        <f>TIME(0,50,42)-D7</f>
        <v>0.017083333333333336</v>
      </c>
      <c r="G7" s="7" t="s">
        <v>115</v>
      </c>
      <c r="H7" s="8">
        <f>TIME(1,14,33)-D7-F7</f>
        <v>0.016562499999999997</v>
      </c>
      <c r="I7" s="9">
        <f t="shared" si="0"/>
        <v>0.051770833333333335</v>
      </c>
      <c r="J7" s="6">
        <v>1</v>
      </c>
    </row>
    <row r="8" spans="1:9" ht="15.75">
      <c r="A8" s="6">
        <v>6</v>
      </c>
      <c r="B8" s="5" t="s">
        <v>52</v>
      </c>
      <c r="C8" s="7" t="s">
        <v>192</v>
      </c>
      <c r="D8" s="8">
        <f>TIME(0,25,7)</f>
        <v>0.01744212962962963</v>
      </c>
      <c r="E8" s="7" t="s">
        <v>166</v>
      </c>
      <c r="F8" s="8">
        <f>TIME(0,52,2)-D8</f>
        <v>0.01869212962962963</v>
      </c>
      <c r="G8" s="7" t="s">
        <v>193</v>
      </c>
      <c r="H8" s="8">
        <f>TIME(1,19,31)-D8-F8</f>
        <v>0.01908564814814814</v>
      </c>
      <c r="I8" s="9">
        <f t="shared" si="0"/>
        <v>0.0552199074074074</v>
      </c>
    </row>
    <row r="9" spans="1:9" ht="15.75">
      <c r="A9" s="6" t="s">
        <v>9</v>
      </c>
      <c r="B9" s="7"/>
      <c r="I9" s="7"/>
    </row>
    <row r="10" spans="2:13" s="14" customFormat="1" ht="15.75">
      <c r="B10" s="4" t="s">
        <v>170</v>
      </c>
      <c r="C10" s="4" t="s">
        <v>250</v>
      </c>
      <c r="D10" s="4" t="s">
        <v>251</v>
      </c>
      <c r="E10" s="4" t="s">
        <v>252</v>
      </c>
      <c r="M10" s="15"/>
    </row>
    <row r="11" spans="1:9" ht="15.75">
      <c r="A11" s="6" t="s">
        <v>9</v>
      </c>
      <c r="B11" s="7"/>
      <c r="D11" s="7"/>
      <c r="I11" s="7"/>
    </row>
    <row r="12" spans="1:5" ht="15.75">
      <c r="A12" s="6">
        <v>1</v>
      </c>
      <c r="B12" s="5" t="s">
        <v>26</v>
      </c>
      <c r="C12" s="4">
        <v>11</v>
      </c>
      <c r="D12" s="4">
        <v>5</v>
      </c>
      <c r="E12" s="4">
        <f aca="true" t="shared" si="1" ref="E12:E17">C12+D12</f>
        <v>16</v>
      </c>
    </row>
    <row r="13" spans="1:5" ht="15.75">
      <c r="A13" s="6">
        <v>2</v>
      </c>
      <c r="B13" s="5" t="s">
        <v>84</v>
      </c>
      <c r="C13" s="4">
        <v>9</v>
      </c>
      <c r="D13" s="4">
        <v>4</v>
      </c>
      <c r="E13" s="4">
        <f t="shared" si="1"/>
        <v>13</v>
      </c>
    </row>
    <row r="14" spans="1:5" ht="15.75">
      <c r="A14" s="6">
        <v>3</v>
      </c>
      <c r="B14" s="5" t="s">
        <v>37</v>
      </c>
      <c r="C14" s="4">
        <v>6</v>
      </c>
      <c r="D14" s="4">
        <v>3</v>
      </c>
      <c r="E14" s="4">
        <f t="shared" si="1"/>
        <v>9</v>
      </c>
    </row>
    <row r="15" spans="1:5" ht="15.75">
      <c r="A15" s="6">
        <v>4</v>
      </c>
      <c r="B15" s="5" t="s">
        <v>120</v>
      </c>
      <c r="C15" s="4">
        <v>5</v>
      </c>
      <c r="D15" s="4">
        <v>2</v>
      </c>
      <c r="E15" s="4">
        <f t="shared" si="1"/>
        <v>7</v>
      </c>
    </row>
    <row r="16" spans="1:5" ht="15.75">
      <c r="A16" s="6">
        <v>5</v>
      </c>
      <c r="B16" s="5" t="s">
        <v>22</v>
      </c>
      <c r="C16" s="4">
        <v>3</v>
      </c>
      <c r="D16" s="4"/>
      <c r="E16" s="4">
        <f t="shared" si="1"/>
        <v>3</v>
      </c>
    </row>
    <row r="17" spans="2:5" ht="15.75">
      <c r="B17" s="5" t="s">
        <v>45</v>
      </c>
      <c r="C17" s="4">
        <v>2</v>
      </c>
      <c r="D17" s="4">
        <v>1</v>
      </c>
      <c r="E17" s="4">
        <f t="shared" si="1"/>
        <v>3</v>
      </c>
    </row>
    <row r="18" ht="15.75">
      <c r="C18" s="6"/>
    </row>
    <row r="19" ht="15.75">
      <c r="C1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00390625" style="6" bestFit="1" customWidth="1"/>
    <col min="2" max="2" width="27.7109375" style="4" bestFit="1" customWidth="1"/>
    <col min="3" max="3" width="16.00390625" style="7" bestFit="1" customWidth="1"/>
    <col min="4" max="4" width="9.00390625" style="6" bestFit="1" customWidth="1"/>
    <col min="5" max="5" width="16.421875" style="7" bestFit="1" customWidth="1"/>
    <col min="6" max="6" width="9.00390625" style="6" bestFit="1" customWidth="1"/>
    <col min="7" max="7" width="18.140625" style="7" customWidth="1"/>
    <col min="8" max="8" width="9.00390625" style="7" bestFit="1" customWidth="1"/>
    <col min="9" max="9" width="16.140625" style="7" bestFit="1" customWidth="1"/>
    <col min="10" max="10" width="9.00390625" style="6" bestFit="1" customWidth="1"/>
    <col min="11" max="11" width="11.28125" style="6" bestFit="1" customWidth="1"/>
    <col min="12" max="16384" width="9.140625" style="7" customWidth="1"/>
  </cols>
  <sheetData>
    <row r="1" spans="1:10" s="2" customFormat="1" ht="18.75">
      <c r="A1" s="1" t="s">
        <v>168</v>
      </c>
      <c r="D1" s="3"/>
      <c r="F1" s="3"/>
      <c r="H1" s="3"/>
      <c r="I1" s="3"/>
      <c r="J1" s="3"/>
    </row>
    <row r="2" spans="1:12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4</v>
      </c>
      <c r="J2" s="4" t="s">
        <v>8</v>
      </c>
      <c r="K2" s="4" t="s">
        <v>10</v>
      </c>
      <c r="L2" s="4" t="s">
        <v>104</v>
      </c>
    </row>
    <row r="3" spans="1:12" ht="15.75">
      <c r="A3" s="6">
        <v>1</v>
      </c>
      <c r="B3" s="11" t="s">
        <v>210</v>
      </c>
      <c r="C3" s="7" t="s">
        <v>96</v>
      </c>
      <c r="D3" s="8">
        <f>TIME(0,20,30)</f>
        <v>0.01423611111111111</v>
      </c>
      <c r="E3" s="7" t="s">
        <v>95</v>
      </c>
      <c r="F3" s="8">
        <f>TIME(0,38,26)-D3</f>
        <v>0.012453703703703705</v>
      </c>
      <c r="G3" s="7" t="s">
        <v>94</v>
      </c>
      <c r="H3" s="13">
        <f>TIME(0,57,57)-D3-F3</f>
        <v>0.013553240740740746</v>
      </c>
      <c r="I3" s="7" t="s">
        <v>211</v>
      </c>
      <c r="J3" s="8">
        <f>TIME(1,17,47)-D3-F3-H3</f>
        <v>0.013773148148148154</v>
      </c>
      <c r="K3" s="8">
        <f>+J3+H3+F3+D3</f>
        <v>0.05401620370370371</v>
      </c>
      <c r="L3" s="6">
        <v>2</v>
      </c>
    </row>
    <row r="4" spans="1:12" ht="15.75">
      <c r="A4" s="6">
        <v>2</v>
      </c>
      <c r="B4" s="11" t="s">
        <v>135</v>
      </c>
      <c r="C4" s="7" t="s">
        <v>139</v>
      </c>
      <c r="D4" s="8">
        <f>TIME(0,17,33)</f>
        <v>0.012187500000000002</v>
      </c>
      <c r="E4" s="7" t="s">
        <v>136</v>
      </c>
      <c r="F4" s="8">
        <f>TIME(0,38,10)-D4</f>
        <v>0.014317129629629626</v>
      </c>
      <c r="G4" s="7" t="s">
        <v>137</v>
      </c>
      <c r="H4" s="13">
        <f>TIME(1,0,20)-D4-F4</f>
        <v>0.01539351851851852</v>
      </c>
      <c r="I4" s="7" t="s">
        <v>138</v>
      </c>
      <c r="J4" s="8">
        <f>TIME(1,19,17)-D4-F4-H4</f>
        <v>0.013159722222222227</v>
      </c>
      <c r="K4" s="8">
        <f>+J4+H4+F4+D4</f>
        <v>0.055057870370370375</v>
      </c>
      <c r="L4" s="6">
        <v>1</v>
      </c>
    </row>
    <row r="5" spans="2:12" ht="15.75">
      <c r="B5" s="11" t="s">
        <v>212</v>
      </c>
      <c r="C5" s="7" t="s">
        <v>213</v>
      </c>
      <c r="D5" s="8">
        <f>TIME(0,21,46)</f>
        <v>0.01511574074074074</v>
      </c>
      <c r="E5" s="7" t="s">
        <v>97</v>
      </c>
      <c r="F5" s="8">
        <f>TIME(0,43,11)-D5</f>
        <v>0.014872685185185181</v>
      </c>
      <c r="G5" s="7" t="s">
        <v>214</v>
      </c>
      <c r="H5" s="13">
        <f>TIME(1,6,4)-D5-F5</f>
        <v>0.015891203703703706</v>
      </c>
      <c r="I5" s="7" t="s">
        <v>215</v>
      </c>
      <c r="J5" s="8">
        <f>TIME(1,30,59)-D5-F5-H5</f>
        <v>0.01730324074074073</v>
      </c>
      <c r="K5" s="8">
        <f>+J5+H5+F5+D5</f>
        <v>0.06318287037037036</v>
      </c>
      <c r="L5" s="6"/>
    </row>
    <row r="6" spans="1:11" ht="15.75">
      <c r="A6" s="6" t="s">
        <v>9</v>
      </c>
      <c r="B6" s="7"/>
      <c r="H6" s="6"/>
      <c r="K6" s="7"/>
    </row>
    <row r="7" spans="2:13" s="14" customFormat="1" ht="15.75">
      <c r="B7" s="4" t="s">
        <v>170</v>
      </c>
      <c r="C7" s="4" t="s">
        <v>250</v>
      </c>
      <c r="D7" s="4" t="s">
        <v>251</v>
      </c>
      <c r="E7" s="4" t="s">
        <v>252</v>
      </c>
      <c r="M7" s="15"/>
    </row>
    <row r="8" spans="1:11" ht="15.75">
      <c r="A8" s="6" t="s">
        <v>9</v>
      </c>
      <c r="B8" s="7"/>
      <c r="D8" s="7"/>
      <c r="H8" s="6"/>
      <c r="K8" s="7"/>
    </row>
    <row r="9" spans="1:5" ht="15.75">
      <c r="A9" s="6">
        <v>1</v>
      </c>
      <c r="B9" s="11" t="s">
        <v>135</v>
      </c>
      <c r="C9" s="4">
        <v>3</v>
      </c>
      <c r="D9" s="4">
        <v>1</v>
      </c>
      <c r="E9" s="4">
        <f>C9+D9</f>
        <v>4</v>
      </c>
    </row>
    <row r="10" spans="2:5" ht="15.75">
      <c r="B10" s="11" t="s">
        <v>171</v>
      </c>
      <c r="C10" s="4">
        <v>2</v>
      </c>
      <c r="D10" s="4">
        <v>2</v>
      </c>
      <c r="E10" s="4">
        <f>C10+D10</f>
        <v>4</v>
      </c>
    </row>
    <row r="11" spans="1:5" ht="15.75">
      <c r="A11" s="6">
        <v>3</v>
      </c>
      <c r="B11" s="11" t="s">
        <v>169</v>
      </c>
      <c r="C11" s="4">
        <v>3</v>
      </c>
      <c r="D11" s="4"/>
      <c r="E11" s="4">
        <f>C11+D11</f>
        <v>3</v>
      </c>
    </row>
    <row r="12" spans="1:5" ht="15.75">
      <c r="A12" s="6">
        <v>4</v>
      </c>
      <c r="B12" s="11" t="s">
        <v>140</v>
      </c>
      <c r="C12" s="4">
        <v>1</v>
      </c>
      <c r="D12" s="4"/>
      <c r="E12" s="4">
        <f>C12+D12</f>
        <v>1</v>
      </c>
    </row>
    <row r="13" ht="15.75">
      <c r="B13" s="11"/>
    </row>
    <row r="14" ht="15.75">
      <c r="B1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Butler, Robin</cp:lastModifiedBy>
  <dcterms:created xsi:type="dcterms:W3CDTF">2014-05-07T13:41:56Z</dcterms:created>
  <dcterms:modified xsi:type="dcterms:W3CDTF">2014-06-25T09:32:59Z</dcterms:modified>
  <cp:category/>
  <cp:version/>
  <cp:contentType/>
  <cp:contentStatus/>
</cp:coreProperties>
</file>